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3766-San Joaquin River Restoration Program\San Joaquin River\Subsidence Mapping\_Surveys\20201214 Subsidence Survey\"/>
    </mc:Choice>
  </mc:AlternateContent>
  <xr:revisionPtr revIDLastSave="0" documentId="13_ncr:1_{C2D98884-D275-4F83-9B70-013F564EC139}" xr6:coauthVersionLast="45" xr6:coauthVersionMax="45" xr10:uidLastSave="{00000000-0000-0000-0000-000000000000}"/>
  <bookViews>
    <workbookView xWindow="1170" yWindow="1170" windowWidth="21600" windowHeight="11385" tabRatio="433" xr2:uid="{00000000-000D-0000-FFFF-FFFF00000000}"/>
  </bookViews>
  <sheets>
    <sheet name="Const Adj" sheetId="1" r:id="rId1"/>
    <sheet name="Free Adj" sheetId="3" r:id="rId2"/>
  </sheets>
  <definedNames>
    <definedName name="_xlnm._FilterDatabase" localSheetId="1" hidden="1">'Free Adj'!$A$1:$AP$82</definedName>
    <definedName name="_xlnm.Print_Area" localSheetId="0">'Const Adj'!$A$1:$AP$97</definedName>
    <definedName name="_xlnm.Print_Area" localSheetId="1">'Free Adj'!$A$6:$AP$96</definedName>
    <definedName name="_xlnm.Print_Titles" localSheetId="0">'Const Adj'!$1:$5</definedName>
    <definedName name="_xlnm.Print_Titles" localSheetId="1">'Free Adj'!$1:$5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G82" i="3" l="1"/>
  <c r="AG81" i="3"/>
  <c r="AG80" i="3"/>
  <c r="AG79" i="3"/>
  <c r="AG78" i="3"/>
  <c r="AG77" i="3"/>
  <c r="AG76" i="3"/>
  <c r="AG75" i="3"/>
  <c r="AG74" i="3"/>
  <c r="AG73" i="3"/>
  <c r="AG72" i="3"/>
  <c r="AG71" i="3"/>
  <c r="AG70" i="3"/>
  <c r="AG69" i="3"/>
  <c r="AG68" i="3"/>
  <c r="AG67" i="3"/>
  <c r="AG66" i="3"/>
  <c r="AG65" i="3"/>
  <c r="AG64" i="3"/>
  <c r="AG62" i="3"/>
  <c r="AG61" i="3"/>
  <c r="AG60" i="3"/>
  <c r="AG59" i="3"/>
  <c r="AG58" i="3"/>
  <c r="AG57" i="3"/>
  <c r="AG56" i="3"/>
  <c r="AG55" i="3"/>
  <c r="AG54" i="3"/>
  <c r="AG53" i="3"/>
  <c r="AG52" i="3"/>
  <c r="AG51" i="3"/>
  <c r="AG50" i="3"/>
  <c r="AG49" i="3"/>
  <c r="AG48" i="3"/>
  <c r="AG47" i="3"/>
  <c r="AG46" i="3"/>
  <c r="AG45" i="3"/>
  <c r="AG44" i="3"/>
  <c r="AG43" i="3"/>
  <c r="AG42" i="3"/>
  <c r="AG41" i="3"/>
  <c r="AG40" i="3"/>
  <c r="AG39" i="3"/>
  <c r="AG38" i="3"/>
  <c r="AG37" i="3"/>
  <c r="AG36" i="3"/>
  <c r="AG35" i="3"/>
  <c r="AG34" i="3"/>
  <c r="AG32" i="3"/>
  <c r="AG31" i="3"/>
  <c r="AG30" i="3"/>
  <c r="AG29" i="3"/>
  <c r="AG27" i="3"/>
  <c r="AG26" i="3"/>
  <c r="AG24" i="3"/>
  <c r="AG23" i="3"/>
  <c r="AG22" i="3"/>
  <c r="AG21" i="3"/>
  <c r="AG20" i="3"/>
  <c r="AG19" i="3"/>
  <c r="AG17" i="3"/>
  <c r="AG16" i="3"/>
  <c r="AG15" i="3"/>
  <c r="AG14" i="3"/>
  <c r="AG13" i="3"/>
  <c r="AG12" i="3"/>
  <c r="AG11" i="3"/>
  <c r="AG10" i="3"/>
  <c r="AG9" i="3"/>
  <c r="AG8" i="3"/>
  <c r="AG7" i="3"/>
  <c r="AG6" i="3"/>
  <c r="AG74" i="1"/>
  <c r="AG42" i="1"/>
  <c r="AG36" i="1"/>
  <c r="AG11" i="1"/>
  <c r="AG10" i="1"/>
  <c r="AG9" i="1"/>
  <c r="W10" i="1" l="1"/>
  <c r="AF11" i="1"/>
  <c r="AF10" i="1"/>
  <c r="AQ59" i="1"/>
  <c r="AQ26" i="1"/>
  <c r="AQ11" i="1"/>
  <c r="AQ10" i="1"/>
  <c r="AQ9" i="1"/>
  <c r="AG81" i="1"/>
  <c r="AG59" i="1"/>
  <c r="AF59" i="1"/>
  <c r="AG26" i="1"/>
  <c r="AF26" i="1"/>
  <c r="W59" i="1"/>
  <c r="W26" i="1"/>
  <c r="W11" i="1"/>
  <c r="W9" i="1"/>
  <c r="AQ26" i="3"/>
  <c r="AQ11" i="3"/>
  <c r="AQ10" i="3"/>
  <c r="AQ9" i="3"/>
  <c r="AQ59" i="3"/>
  <c r="W37" i="3"/>
  <c r="V55" i="3"/>
  <c r="AF59" i="3"/>
  <c r="W26" i="3"/>
  <c r="AF26" i="3" s="1"/>
  <c r="AF11" i="3"/>
  <c r="AF10" i="3"/>
  <c r="AF7" i="3"/>
  <c r="W59" i="3"/>
  <c r="W11" i="3"/>
  <c r="W10" i="3"/>
  <c r="W9" i="3"/>
  <c r="AP10" i="3" l="1"/>
  <c r="W82" i="3" l="1"/>
  <c r="W81" i="3"/>
  <c r="W80" i="3"/>
  <c r="W79" i="3"/>
  <c r="W78" i="3"/>
  <c r="W77" i="3"/>
  <c r="W76" i="3"/>
  <c r="W75" i="3"/>
  <c r="W74" i="3"/>
  <c r="W73" i="3"/>
  <c r="W72" i="3"/>
  <c r="W71" i="3"/>
  <c r="W70" i="3"/>
  <c r="W69" i="3"/>
  <c r="W68" i="3"/>
  <c r="W67" i="3"/>
  <c r="W66" i="3"/>
  <c r="W65" i="3"/>
  <c r="W64" i="3"/>
  <c r="W62" i="3"/>
  <c r="W61" i="3"/>
  <c r="W60" i="3"/>
  <c r="W58" i="3"/>
  <c r="W57" i="3"/>
  <c r="W56" i="3"/>
  <c r="W55" i="3"/>
  <c r="W54" i="3"/>
  <c r="W53" i="3"/>
  <c r="W52" i="3"/>
  <c r="W51" i="3"/>
  <c r="W50" i="3"/>
  <c r="W49" i="3"/>
  <c r="W48" i="3"/>
  <c r="W47" i="3"/>
  <c r="W46" i="3"/>
  <c r="W45" i="3"/>
  <c r="W44" i="3"/>
  <c r="W43" i="3"/>
  <c r="W42" i="3"/>
  <c r="W41" i="3"/>
  <c r="W40" i="3"/>
  <c r="W39" i="3"/>
  <c r="W38" i="3"/>
  <c r="W36" i="3"/>
  <c r="W35" i="3"/>
  <c r="W34" i="3"/>
  <c r="W32" i="3"/>
  <c r="W31" i="3"/>
  <c r="W30" i="3"/>
  <c r="W29" i="3"/>
  <c r="W27" i="3"/>
  <c r="W24" i="3"/>
  <c r="W23" i="3"/>
  <c r="W22" i="3"/>
  <c r="W21" i="3"/>
  <c r="W20" i="3"/>
  <c r="W19" i="3"/>
  <c r="W17" i="3"/>
  <c r="W16" i="3"/>
  <c r="W15" i="3"/>
  <c r="W14" i="3"/>
  <c r="W13" i="3"/>
  <c r="W12" i="3"/>
  <c r="W8" i="3"/>
  <c r="W7" i="3"/>
  <c r="W6" i="3"/>
  <c r="W61" i="1"/>
  <c r="W60" i="1"/>
  <c r="V59" i="1"/>
  <c r="W55" i="1"/>
  <c r="W51" i="1"/>
  <c r="W82" i="1" l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2" i="1"/>
  <c r="W58" i="1"/>
  <c r="W57" i="1"/>
  <c r="W56" i="1"/>
  <c r="W54" i="1"/>
  <c r="W53" i="1"/>
  <c r="W52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2" i="1"/>
  <c r="W31" i="1"/>
  <c r="W30" i="1"/>
  <c r="W29" i="1"/>
  <c r="W27" i="1"/>
  <c r="W24" i="1"/>
  <c r="W23" i="1"/>
  <c r="W22" i="1"/>
  <c r="W21" i="1"/>
  <c r="W20" i="1"/>
  <c r="W19" i="1"/>
  <c r="W17" i="1"/>
  <c r="W16" i="1"/>
  <c r="W15" i="1"/>
  <c r="W14" i="1"/>
  <c r="W13" i="1"/>
  <c r="W12" i="1"/>
  <c r="AF82" i="3" l="1"/>
  <c r="AF80" i="3"/>
  <c r="AF78" i="3"/>
  <c r="AF75" i="3"/>
  <c r="AF79" i="3"/>
  <c r="AF77" i="3"/>
  <c r="AF76" i="3"/>
  <c r="AF73" i="3"/>
  <c r="AF72" i="3"/>
  <c r="AF71" i="3"/>
  <c r="AF70" i="3"/>
  <c r="AF69" i="3"/>
  <c r="AF68" i="3"/>
  <c r="AF67" i="3"/>
  <c r="AF66" i="3"/>
  <c r="AF65" i="3"/>
  <c r="AF64" i="3"/>
  <c r="AF62" i="3"/>
  <c r="AF61" i="3"/>
  <c r="AF60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2" i="3"/>
  <c r="AF31" i="3"/>
  <c r="AF30" i="3"/>
  <c r="AF29" i="3"/>
  <c r="AF27" i="3"/>
  <c r="AF24" i="3"/>
  <c r="AF23" i="3"/>
  <c r="AF22" i="3"/>
  <c r="AF21" i="3"/>
  <c r="AF20" i="3"/>
  <c r="AF19" i="3"/>
  <c r="AF17" i="3"/>
  <c r="AF16" i="3"/>
  <c r="AF15" i="3"/>
  <c r="AF14" i="3"/>
  <c r="AF13" i="3"/>
  <c r="AF12" i="3"/>
  <c r="AF8" i="3"/>
  <c r="AG8" i="1"/>
  <c r="AG6" i="1"/>
  <c r="AG14" i="1"/>
  <c r="AG13" i="1"/>
  <c r="AG12" i="1"/>
  <c r="W8" i="1"/>
  <c r="W7" i="1"/>
  <c r="AG7" i="1" s="1"/>
  <c r="W6" i="1"/>
  <c r="AG82" i="1"/>
  <c r="AG80" i="1"/>
  <c r="AG79" i="1"/>
  <c r="AG78" i="1"/>
  <c r="AG77" i="1"/>
  <c r="AG76" i="1"/>
  <c r="AG75" i="1"/>
  <c r="AG73" i="1"/>
  <c r="AG72" i="1"/>
  <c r="AG71" i="1"/>
  <c r="AG70" i="1"/>
  <c r="AG69" i="1"/>
  <c r="AG68" i="1"/>
  <c r="AG67" i="1"/>
  <c r="AG66" i="1"/>
  <c r="AG65" i="1"/>
  <c r="AG64" i="1"/>
  <c r="AG62" i="1"/>
  <c r="AG61" i="1"/>
  <c r="AG60" i="1"/>
  <c r="AG58" i="1"/>
  <c r="AG57" i="1"/>
  <c r="AG56" i="1"/>
  <c r="AG55" i="1"/>
  <c r="AG54" i="1"/>
  <c r="AG53" i="1"/>
  <c r="AG52" i="1"/>
  <c r="AG51" i="1"/>
  <c r="AG50" i="1"/>
  <c r="AG49" i="1"/>
  <c r="AG48" i="1"/>
  <c r="AG47" i="1"/>
  <c r="AG46" i="1"/>
  <c r="AG45" i="1"/>
  <c r="AG44" i="1"/>
  <c r="AG43" i="1"/>
  <c r="AG41" i="1"/>
  <c r="AG40" i="1"/>
  <c r="AG39" i="1"/>
  <c r="AG38" i="1"/>
  <c r="AG37" i="1"/>
  <c r="AG35" i="1"/>
  <c r="AG34" i="1"/>
  <c r="AG32" i="1"/>
  <c r="AG31" i="1"/>
  <c r="AG30" i="1"/>
  <c r="AG29" i="1"/>
  <c r="AG27" i="1"/>
  <c r="AG24" i="1"/>
  <c r="AG23" i="1"/>
  <c r="AG22" i="1"/>
  <c r="AG21" i="1"/>
  <c r="AG20" i="1"/>
  <c r="AG19" i="1"/>
  <c r="AG17" i="1"/>
  <c r="AG16" i="1"/>
  <c r="AG15" i="1"/>
  <c r="AF6" i="3" l="1"/>
  <c r="AF82" i="1" l="1"/>
  <c r="AF80" i="1"/>
  <c r="AF79" i="1"/>
  <c r="AF78" i="1"/>
  <c r="AF77" i="1"/>
  <c r="AF76" i="1"/>
  <c r="AF75" i="1"/>
  <c r="AF73" i="1"/>
  <c r="AF72" i="1"/>
  <c r="AF71" i="1"/>
  <c r="AF70" i="1"/>
  <c r="AF69" i="1"/>
  <c r="AF68" i="1"/>
  <c r="AF67" i="1"/>
  <c r="AF66" i="1"/>
  <c r="AF65" i="1"/>
  <c r="AF64" i="1"/>
  <c r="AF62" i="1"/>
  <c r="AF58" i="1"/>
  <c r="AF57" i="1"/>
  <c r="AF56" i="1"/>
  <c r="AF54" i="1"/>
  <c r="AF53" i="1"/>
  <c r="AF52" i="1"/>
  <c r="AF50" i="1"/>
  <c r="AF49" i="1"/>
  <c r="AF48" i="1"/>
  <c r="AF47" i="1"/>
  <c r="AF46" i="1"/>
  <c r="AF45" i="1"/>
  <c r="AF44" i="1"/>
  <c r="AF43" i="1"/>
  <c r="AF42" i="1"/>
  <c r="AF41" i="1"/>
  <c r="AF40" i="1"/>
  <c r="AF39" i="1"/>
  <c r="AF38" i="1"/>
  <c r="AF37" i="1"/>
  <c r="AF36" i="1"/>
  <c r="AF35" i="1"/>
  <c r="AF34" i="1"/>
  <c r="AF32" i="1"/>
  <c r="AF31" i="1"/>
  <c r="AF30" i="1"/>
  <c r="AF29" i="1"/>
  <c r="AF27" i="1"/>
  <c r="AF24" i="1"/>
  <c r="AF23" i="1"/>
  <c r="AF22" i="1"/>
  <c r="AF21" i="1"/>
  <c r="AF20" i="1"/>
  <c r="AF19" i="1"/>
  <c r="AF17" i="1"/>
  <c r="AF16" i="1"/>
  <c r="AF15" i="1"/>
  <c r="AF14" i="1"/>
  <c r="AF13" i="1"/>
  <c r="AF12" i="1"/>
  <c r="AF8" i="1"/>
  <c r="AF7" i="1"/>
  <c r="AF6" i="1"/>
  <c r="AQ82" i="1"/>
  <c r="AQ81" i="1"/>
  <c r="AQ80" i="1"/>
  <c r="AQ78" i="1"/>
  <c r="AQ77" i="1"/>
  <c r="AQ76" i="1"/>
  <c r="AQ75" i="1"/>
  <c r="AQ74" i="1"/>
  <c r="AQ73" i="1"/>
  <c r="AQ72" i="1"/>
  <c r="AQ71" i="1"/>
  <c r="AQ70" i="1"/>
  <c r="AQ69" i="1"/>
  <c r="AQ68" i="1"/>
  <c r="AQ67" i="1"/>
  <c r="AQ66" i="1"/>
  <c r="AQ65" i="1"/>
  <c r="AQ64" i="1"/>
  <c r="AQ62" i="1"/>
  <c r="AQ58" i="1"/>
  <c r="AQ57" i="1"/>
  <c r="AQ56" i="1"/>
  <c r="AQ54" i="1"/>
  <c r="AQ53" i="1"/>
  <c r="AQ52" i="1"/>
  <c r="AQ50" i="1"/>
  <c r="AQ49" i="1"/>
  <c r="AQ48" i="1"/>
  <c r="AQ47" i="1"/>
  <c r="AQ46" i="1"/>
  <c r="AQ45" i="1"/>
  <c r="AQ44" i="1"/>
  <c r="AQ43" i="1"/>
  <c r="AQ42" i="1"/>
  <c r="AQ41" i="1"/>
  <c r="AQ40" i="1"/>
  <c r="AQ39" i="1"/>
  <c r="AQ38" i="1"/>
  <c r="AQ37" i="1"/>
  <c r="AQ36" i="1"/>
  <c r="AQ35" i="1"/>
  <c r="AQ34" i="1"/>
  <c r="AQ32" i="1"/>
  <c r="AQ31" i="1"/>
  <c r="AQ30" i="1"/>
  <c r="AQ29" i="1"/>
  <c r="AQ27" i="1"/>
  <c r="AQ24" i="1"/>
  <c r="AQ23" i="1"/>
  <c r="AQ22" i="1"/>
  <c r="AQ21" i="1"/>
  <c r="AQ20" i="1"/>
  <c r="AQ19" i="1"/>
  <c r="AQ17" i="1"/>
  <c r="AQ16" i="1"/>
  <c r="AQ15" i="1"/>
  <c r="AQ14" i="1"/>
  <c r="AQ13" i="1"/>
  <c r="AQ12" i="1"/>
  <c r="AQ8" i="1"/>
  <c r="AQ7" i="1"/>
  <c r="AQ6" i="1"/>
  <c r="AQ82" i="3"/>
  <c r="AQ81" i="3"/>
  <c r="AQ80" i="3"/>
  <c r="AQ79" i="3"/>
  <c r="AQ78" i="3"/>
  <c r="AQ77" i="3"/>
  <c r="AQ76" i="3"/>
  <c r="AQ75" i="3"/>
  <c r="AQ74" i="3"/>
  <c r="AQ73" i="3"/>
  <c r="AQ72" i="3"/>
  <c r="AQ71" i="3"/>
  <c r="AQ70" i="3"/>
  <c r="AQ69" i="3"/>
  <c r="AQ68" i="3"/>
  <c r="AQ67" i="3"/>
  <c r="AQ66" i="3"/>
  <c r="AQ65" i="3"/>
  <c r="AQ64" i="3"/>
  <c r="AQ62" i="3"/>
  <c r="AQ61" i="3"/>
  <c r="AQ60" i="3"/>
  <c r="AQ58" i="3"/>
  <c r="AQ57" i="3"/>
  <c r="AQ56" i="3"/>
  <c r="AQ55" i="3"/>
  <c r="AQ54" i="3"/>
  <c r="AQ53" i="3"/>
  <c r="AQ52" i="3"/>
  <c r="AQ51" i="3"/>
  <c r="AQ50" i="3"/>
  <c r="AQ49" i="3"/>
  <c r="AQ48" i="3"/>
  <c r="AQ47" i="3"/>
  <c r="AQ46" i="3"/>
  <c r="AQ45" i="3"/>
  <c r="AQ44" i="3"/>
  <c r="AQ43" i="3"/>
  <c r="AQ42" i="3"/>
  <c r="AQ41" i="3"/>
  <c r="AQ40" i="3"/>
  <c r="AQ39" i="3"/>
  <c r="AQ38" i="3"/>
  <c r="AQ37" i="3"/>
  <c r="AQ36" i="3"/>
  <c r="AQ35" i="3"/>
  <c r="AQ34" i="3"/>
  <c r="AQ32" i="3"/>
  <c r="AQ31" i="3"/>
  <c r="AQ30" i="3"/>
  <c r="AQ29" i="3"/>
  <c r="AQ27" i="3"/>
  <c r="AQ24" i="3"/>
  <c r="AQ23" i="3"/>
  <c r="AQ22" i="3"/>
  <c r="AQ21" i="3"/>
  <c r="AQ20" i="3"/>
  <c r="AQ19" i="3"/>
  <c r="AQ17" i="3"/>
  <c r="AQ16" i="3"/>
  <c r="AQ15" i="3"/>
  <c r="AQ14" i="3"/>
  <c r="AQ13" i="3"/>
  <c r="AQ12" i="3"/>
  <c r="AQ8" i="3"/>
  <c r="AQ7" i="3"/>
  <c r="AQ6" i="3"/>
  <c r="AE82" i="3" l="1"/>
  <c r="AE80" i="3"/>
  <c r="AE79" i="3"/>
  <c r="AE78" i="3"/>
  <c r="AE77" i="3"/>
  <c r="AE76" i="3"/>
  <c r="AE75" i="3"/>
  <c r="AE73" i="3"/>
  <c r="AE72" i="3"/>
  <c r="AE71" i="3"/>
  <c r="AE70" i="3"/>
  <c r="AE69" i="3"/>
  <c r="AE68" i="3"/>
  <c r="AE67" i="3"/>
  <c r="AE66" i="3"/>
  <c r="AE65" i="3"/>
  <c r="AE64" i="3"/>
  <c r="AE62" i="3"/>
  <c r="AE58" i="3"/>
  <c r="AE57" i="3"/>
  <c r="AE56" i="3"/>
  <c r="AE54" i="3"/>
  <c r="AE53" i="3"/>
  <c r="AE52" i="3"/>
  <c r="AE50" i="3"/>
  <c r="AE49" i="3"/>
  <c r="AE48" i="3"/>
  <c r="AE47" i="3"/>
  <c r="AE46" i="3"/>
  <c r="AE45" i="3"/>
  <c r="AE44" i="3"/>
  <c r="AE43" i="3"/>
  <c r="AE42" i="3"/>
  <c r="AE41" i="3"/>
  <c r="AE40" i="3"/>
  <c r="AE39" i="3"/>
  <c r="AE38" i="3"/>
  <c r="AE37" i="3"/>
  <c r="AE36" i="3"/>
  <c r="AE35" i="3"/>
  <c r="AE34" i="3"/>
  <c r="AE32" i="3"/>
  <c r="AE31" i="3"/>
  <c r="AE30" i="3"/>
  <c r="AE29" i="3"/>
  <c r="AE27" i="3"/>
  <c r="AE26" i="3"/>
  <c r="AE24" i="3"/>
  <c r="AE23" i="3"/>
  <c r="AE22" i="3"/>
  <c r="AE21" i="3"/>
  <c r="AE20" i="3"/>
  <c r="AE19" i="3"/>
  <c r="AE17" i="3"/>
  <c r="AE16" i="3"/>
  <c r="AE15" i="3"/>
  <c r="AE14" i="3"/>
  <c r="AE13" i="3"/>
  <c r="AE12" i="3"/>
  <c r="AE11" i="3"/>
  <c r="AE10" i="3"/>
  <c r="AE8" i="3"/>
  <c r="AE7" i="3"/>
  <c r="AE6" i="3"/>
  <c r="AP82" i="3" l="1"/>
  <c r="AP80" i="3"/>
  <c r="AP78" i="3"/>
  <c r="AP77" i="3"/>
  <c r="AP76" i="3"/>
  <c r="AP75" i="3"/>
  <c r="AP73" i="3"/>
  <c r="AP72" i="3"/>
  <c r="AP71" i="3"/>
  <c r="AP70" i="3"/>
  <c r="AP69" i="3"/>
  <c r="AP68" i="3"/>
  <c r="AP67" i="3"/>
  <c r="AP66" i="3"/>
  <c r="AP65" i="3"/>
  <c r="AP64" i="3"/>
  <c r="AP63" i="3"/>
  <c r="AP62" i="3"/>
  <c r="AP58" i="3"/>
  <c r="AP57" i="3"/>
  <c r="AP56" i="3"/>
  <c r="AP54" i="3"/>
  <c r="AP53" i="3"/>
  <c r="AP52" i="3"/>
  <c r="AP50" i="3"/>
  <c r="AP49" i="3"/>
  <c r="AP48" i="3"/>
  <c r="AP47" i="3"/>
  <c r="AP46" i="3"/>
  <c r="AP45" i="3"/>
  <c r="AP44" i="3"/>
  <c r="AP43" i="3"/>
  <c r="AP42" i="3"/>
  <c r="AP41" i="3"/>
  <c r="AP40" i="3"/>
  <c r="AP39" i="3"/>
  <c r="AP38" i="3"/>
  <c r="AP37" i="3"/>
  <c r="AP36" i="3"/>
  <c r="AP35" i="3"/>
  <c r="AP34" i="3"/>
  <c r="AP32" i="3"/>
  <c r="AP31" i="3"/>
  <c r="AP30" i="3"/>
  <c r="AP29" i="3"/>
  <c r="AP27" i="3"/>
  <c r="AP26" i="3"/>
  <c r="AP24" i="3"/>
  <c r="AP23" i="3"/>
  <c r="AP22" i="3"/>
  <c r="AP21" i="3"/>
  <c r="AP20" i="3"/>
  <c r="AP19" i="3"/>
  <c r="AP17" i="3"/>
  <c r="AP16" i="3"/>
  <c r="AP15" i="3"/>
  <c r="AP14" i="3"/>
  <c r="AP13" i="3"/>
  <c r="AP12" i="3"/>
  <c r="AP11" i="3"/>
  <c r="AP8" i="3"/>
  <c r="AP7" i="3"/>
  <c r="AP6" i="3"/>
  <c r="V61" i="3"/>
  <c r="V60" i="3"/>
  <c r="V59" i="3"/>
  <c r="V51" i="3"/>
  <c r="AP82" i="1"/>
  <c r="AP80" i="1"/>
  <c r="AP78" i="1"/>
  <c r="AP77" i="1"/>
  <c r="AP76" i="1"/>
  <c r="AP75" i="1"/>
  <c r="AP73" i="1"/>
  <c r="AP72" i="1"/>
  <c r="AP71" i="1"/>
  <c r="AP70" i="1"/>
  <c r="AP69" i="1"/>
  <c r="AP68" i="1"/>
  <c r="AP67" i="1"/>
  <c r="AP66" i="1"/>
  <c r="AP65" i="1"/>
  <c r="AP64" i="1"/>
  <c r="AP63" i="1"/>
  <c r="AP62" i="1"/>
  <c r="AP58" i="1"/>
  <c r="AP57" i="1"/>
  <c r="AP56" i="1"/>
  <c r="AP54" i="1"/>
  <c r="AP53" i="1"/>
  <c r="AP52" i="1"/>
  <c r="AP50" i="1"/>
  <c r="AP49" i="1"/>
  <c r="AP48" i="1"/>
  <c r="AP47" i="1"/>
  <c r="AP46" i="1"/>
  <c r="AP45" i="1"/>
  <c r="AP44" i="1"/>
  <c r="AP43" i="1"/>
  <c r="AP42" i="1"/>
  <c r="AP41" i="1"/>
  <c r="AP40" i="1"/>
  <c r="AP39" i="1"/>
  <c r="AP38" i="1"/>
  <c r="AP37" i="1"/>
  <c r="AP36" i="1"/>
  <c r="AP35" i="1"/>
  <c r="AP34" i="1"/>
  <c r="AP32" i="1"/>
  <c r="AP31" i="1"/>
  <c r="AP30" i="1"/>
  <c r="AP29" i="1"/>
  <c r="AP27" i="1"/>
  <c r="AP26" i="1"/>
  <c r="AP24" i="1"/>
  <c r="AP23" i="1"/>
  <c r="AP22" i="1"/>
  <c r="AP21" i="1"/>
  <c r="AP20" i="1"/>
  <c r="AP19" i="1"/>
  <c r="AP17" i="1"/>
  <c r="AP16" i="1"/>
  <c r="AP15" i="1"/>
  <c r="AP14" i="1"/>
  <c r="AP13" i="1"/>
  <c r="AP12" i="1"/>
  <c r="AP11" i="1"/>
  <c r="AP10" i="1"/>
  <c r="AP8" i="1"/>
  <c r="AP7" i="1"/>
  <c r="AP6" i="1"/>
  <c r="AE79" i="1"/>
  <c r="V61" i="1"/>
  <c r="AF61" i="1" s="1"/>
  <c r="V60" i="1"/>
  <c r="AF60" i="1" s="1"/>
  <c r="V55" i="1"/>
  <c r="AF55" i="1" s="1"/>
  <c r="V51" i="1"/>
  <c r="AF51" i="1" s="1"/>
  <c r="U51" i="1"/>
  <c r="AQ51" i="1" s="1"/>
  <c r="AE82" i="1"/>
  <c r="AE80" i="1"/>
  <c r="AE78" i="1"/>
  <c r="AE77" i="1"/>
  <c r="AE76" i="1"/>
  <c r="AE75" i="1"/>
  <c r="AE73" i="1"/>
  <c r="AE72" i="1"/>
  <c r="AE71" i="1"/>
  <c r="AE70" i="1"/>
  <c r="AE69" i="1"/>
  <c r="AE68" i="1"/>
  <c r="AE67" i="1"/>
  <c r="AE66" i="1"/>
  <c r="AE65" i="1"/>
  <c r="AE64" i="1"/>
  <c r="AE62" i="1"/>
  <c r="AE58" i="1"/>
  <c r="AE57" i="1"/>
  <c r="AE56" i="1"/>
  <c r="AE54" i="1"/>
  <c r="AE53" i="1"/>
  <c r="AE52" i="1"/>
  <c r="AE50" i="1"/>
  <c r="AE49" i="1"/>
  <c r="AE48" i="1"/>
  <c r="AE47" i="1"/>
  <c r="AE46" i="1"/>
  <c r="AE45" i="1"/>
  <c r="AE44" i="1"/>
  <c r="AE43" i="1"/>
  <c r="AE42" i="1"/>
  <c r="AE41" i="1"/>
  <c r="AE40" i="1"/>
  <c r="AE39" i="1"/>
  <c r="AE38" i="1"/>
  <c r="AE37" i="1"/>
  <c r="AE36" i="1"/>
  <c r="AE35" i="1"/>
  <c r="AE34" i="1"/>
  <c r="AE32" i="1"/>
  <c r="AE31" i="1"/>
  <c r="AE30" i="1"/>
  <c r="AE29" i="1"/>
  <c r="AE27" i="1"/>
  <c r="AE26" i="1"/>
  <c r="AE24" i="1"/>
  <c r="AE23" i="1"/>
  <c r="AE22" i="1"/>
  <c r="AE21" i="1"/>
  <c r="AE20" i="1"/>
  <c r="AE19" i="1"/>
  <c r="AE17" i="1"/>
  <c r="AE16" i="1"/>
  <c r="AE15" i="1"/>
  <c r="AE14" i="1"/>
  <c r="AE13" i="1"/>
  <c r="AE12" i="1"/>
  <c r="AE11" i="1"/>
  <c r="AE10" i="1"/>
  <c r="AE8" i="1"/>
  <c r="AE7" i="1"/>
  <c r="AE6" i="1"/>
  <c r="AP51" i="1" l="1"/>
  <c r="U79" i="3"/>
  <c r="AP79" i="3" s="1"/>
  <c r="U79" i="1"/>
  <c r="AQ79" i="1" s="1"/>
  <c r="AN79" i="1" l="1"/>
  <c r="AP79" i="1"/>
  <c r="AN82" i="3"/>
  <c r="AN81" i="3"/>
  <c r="AN80" i="3"/>
  <c r="AN79" i="3"/>
  <c r="AN78" i="3"/>
  <c r="AN77" i="3"/>
  <c r="AN76" i="3"/>
  <c r="AN75" i="3"/>
  <c r="AN74" i="3"/>
  <c r="AN73" i="3"/>
  <c r="AN72" i="3"/>
  <c r="AN71" i="3"/>
  <c r="AN70" i="3"/>
  <c r="AN69" i="3"/>
  <c r="AN68" i="3"/>
  <c r="AN67" i="3"/>
  <c r="AN66" i="3"/>
  <c r="AN65" i="3"/>
  <c r="AN64" i="3"/>
  <c r="AN63" i="3"/>
  <c r="AN62" i="3"/>
  <c r="AN58" i="3"/>
  <c r="AN57" i="3"/>
  <c r="AN56" i="3"/>
  <c r="AN54" i="3"/>
  <c r="AN53" i="3"/>
  <c r="AN52" i="3"/>
  <c r="AN50" i="3"/>
  <c r="AN49" i="3"/>
  <c r="AN48" i="3"/>
  <c r="AN47" i="3"/>
  <c r="AN46" i="3"/>
  <c r="AN45" i="3"/>
  <c r="AN44" i="3"/>
  <c r="AN43" i="3"/>
  <c r="AN42" i="3"/>
  <c r="AN41" i="3"/>
  <c r="AN40" i="3"/>
  <c r="AN39" i="3"/>
  <c r="AN38" i="3"/>
  <c r="AN37" i="3"/>
  <c r="AN36" i="3"/>
  <c r="AN35" i="3"/>
  <c r="AN34" i="3"/>
  <c r="AN32" i="3"/>
  <c r="AN31" i="3"/>
  <c r="AN30" i="3"/>
  <c r="AN29" i="3"/>
  <c r="AN27" i="3"/>
  <c r="AN24" i="3"/>
  <c r="AN23" i="3"/>
  <c r="AN22" i="3"/>
  <c r="AN21" i="3"/>
  <c r="AN20" i="3"/>
  <c r="AN19" i="3"/>
  <c r="AN18" i="3"/>
  <c r="AN17" i="3"/>
  <c r="AN16" i="3"/>
  <c r="AN15" i="3"/>
  <c r="AN14" i="3"/>
  <c r="AN13" i="3"/>
  <c r="AN12" i="3"/>
  <c r="AN11" i="3"/>
  <c r="AN10" i="3"/>
  <c r="AN9" i="3"/>
  <c r="AN8" i="3"/>
  <c r="AN7" i="3"/>
  <c r="AN6" i="3"/>
  <c r="AN82" i="1"/>
  <c r="AN81" i="1"/>
  <c r="AN80" i="1"/>
  <c r="AN78" i="1"/>
  <c r="AN77" i="1"/>
  <c r="AN76" i="1"/>
  <c r="AN75" i="1"/>
  <c r="AN74" i="1"/>
  <c r="AN73" i="1"/>
  <c r="AN72" i="1"/>
  <c r="AN71" i="1"/>
  <c r="AN70" i="1"/>
  <c r="AN69" i="1"/>
  <c r="AN68" i="1"/>
  <c r="AN67" i="1"/>
  <c r="AN66" i="1"/>
  <c r="AN65" i="1"/>
  <c r="AN64" i="1"/>
  <c r="AN63" i="1"/>
  <c r="AN62" i="1"/>
  <c r="AN58" i="1"/>
  <c r="AN57" i="1"/>
  <c r="AN56" i="1"/>
  <c r="AN54" i="1"/>
  <c r="AN53" i="1"/>
  <c r="AN52" i="1"/>
  <c r="AN50" i="1"/>
  <c r="AN49" i="1"/>
  <c r="AN48" i="1"/>
  <c r="AN47" i="1"/>
  <c r="AN46" i="1"/>
  <c r="AN45" i="1"/>
  <c r="AN44" i="1"/>
  <c r="AN43" i="1"/>
  <c r="AN42" i="1"/>
  <c r="AN41" i="1"/>
  <c r="AN40" i="1"/>
  <c r="AN39" i="1"/>
  <c r="AN38" i="1"/>
  <c r="AN37" i="1"/>
  <c r="AN36" i="1"/>
  <c r="AN35" i="1"/>
  <c r="AN34" i="1"/>
  <c r="AN32" i="1"/>
  <c r="AN31" i="1"/>
  <c r="AN30" i="1"/>
  <c r="AN29" i="1"/>
  <c r="AN27" i="1"/>
  <c r="AN24" i="1"/>
  <c r="AN23" i="1"/>
  <c r="AN22" i="1"/>
  <c r="AN21" i="1"/>
  <c r="AN20" i="1"/>
  <c r="AN19" i="1"/>
  <c r="AN18" i="1"/>
  <c r="AN17" i="1"/>
  <c r="AN16" i="1"/>
  <c r="AN15" i="1"/>
  <c r="AN14" i="1"/>
  <c r="AN13" i="1"/>
  <c r="AN12" i="1"/>
  <c r="AN11" i="1"/>
  <c r="AN10" i="1"/>
  <c r="AN9" i="1"/>
  <c r="AN8" i="1"/>
  <c r="AN7" i="1"/>
  <c r="AN6" i="1"/>
  <c r="AO82" i="3" l="1"/>
  <c r="AO81" i="3"/>
  <c r="AO80" i="3"/>
  <c r="AO79" i="3"/>
  <c r="AO78" i="3"/>
  <c r="AO77" i="3"/>
  <c r="AO76" i="3"/>
  <c r="AO75" i="3"/>
  <c r="AO74" i="3"/>
  <c r="AO73" i="3"/>
  <c r="AO72" i="3"/>
  <c r="AO71" i="3"/>
  <c r="AO70" i="3"/>
  <c r="AO69" i="3"/>
  <c r="AO68" i="3"/>
  <c r="AO67" i="3"/>
  <c r="AO66" i="3"/>
  <c r="AO65" i="3"/>
  <c r="AO64" i="3"/>
  <c r="AO63" i="3"/>
  <c r="AO62" i="3"/>
  <c r="AO59" i="3"/>
  <c r="AO58" i="3"/>
  <c r="AO57" i="3"/>
  <c r="AO54" i="3"/>
  <c r="AO52" i="3"/>
  <c r="AO50" i="3"/>
  <c r="AO49" i="3"/>
  <c r="AO48" i="3"/>
  <c r="AO47" i="3"/>
  <c r="AO46" i="3"/>
  <c r="AO45" i="3"/>
  <c r="AO44" i="3"/>
  <c r="AO43" i="3"/>
  <c r="AO42" i="3"/>
  <c r="AO41" i="3"/>
  <c r="AO40" i="3"/>
  <c r="AO39" i="3"/>
  <c r="AO38" i="3"/>
  <c r="AO37" i="3"/>
  <c r="AO36" i="3"/>
  <c r="AO35" i="3"/>
  <c r="AO34" i="3"/>
  <c r="AO32" i="3"/>
  <c r="AO31" i="3"/>
  <c r="AO30" i="3"/>
  <c r="AO29" i="3"/>
  <c r="AO27" i="3"/>
  <c r="AO24" i="3"/>
  <c r="AO23" i="3"/>
  <c r="AO22" i="3"/>
  <c r="AO21" i="3"/>
  <c r="AO20" i="3"/>
  <c r="AO19" i="3"/>
  <c r="AO18" i="3"/>
  <c r="AO17" i="3"/>
  <c r="AO16" i="3"/>
  <c r="AO15" i="3"/>
  <c r="AO14" i="3"/>
  <c r="AO13" i="3"/>
  <c r="AO12" i="3"/>
  <c r="AO11" i="3"/>
  <c r="AO9" i="3"/>
  <c r="AO8" i="3"/>
  <c r="AO7" i="3"/>
  <c r="AO6" i="3"/>
  <c r="U51" i="3"/>
  <c r="U61" i="3"/>
  <c r="U60" i="3"/>
  <c r="AO60" i="3" s="1"/>
  <c r="U59" i="3"/>
  <c r="U55" i="3"/>
  <c r="AO82" i="1"/>
  <c r="AO81" i="1"/>
  <c r="AO80" i="1"/>
  <c r="AO79" i="1"/>
  <c r="AO78" i="1"/>
  <c r="AO77" i="1"/>
  <c r="AO76" i="1"/>
  <c r="AO75" i="1"/>
  <c r="AO54" i="1"/>
  <c r="AO42" i="1"/>
  <c r="AO36" i="1"/>
  <c r="AO74" i="1"/>
  <c r="AO73" i="1"/>
  <c r="AO72" i="1"/>
  <c r="AO71" i="1"/>
  <c r="AO70" i="1"/>
  <c r="AO69" i="1"/>
  <c r="AO68" i="1"/>
  <c r="AO67" i="1"/>
  <c r="AO66" i="1"/>
  <c r="AO65" i="1"/>
  <c r="AO64" i="1"/>
  <c r="AO63" i="1"/>
  <c r="AO62" i="1"/>
  <c r="AO59" i="1"/>
  <c r="AO58" i="1"/>
  <c r="AO57" i="1"/>
  <c r="AO52" i="1"/>
  <c r="AO51" i="1"/>
  <c r="AO50" i="1"/>
  <c r="AO49" i="1"/>
  <c r="AO48" i="1"/>
  <c r="AO47" i="1"/>
  <c r="AO46" i="1"/>
  <c r="AO45" i="1"/>
  <c r="AO44" i="1"/>
  <c r="AO43" i="1"/>
  <c r="AO41" i="1"/>
  <c r="AO40" i="1"/>
  <c r="AO39" i="1"/>
  <c r="AO38" i="1"/>
  <c r="AO37" i="1"/>
  <c r="AO35" i="1"/>
  <c r="AO34" i="1"/>
  <c r="AO32" i="1"/>
  <c r="AO31" i="1"/>
  <c r="AO30" i="1"/>
  <c r="AO29" i="1"/>
  <c r="AO27" i="1"/>
  <c r="AO24" i="1"/>
  <c r="AO23" i="1"/>
  <c r="AO22" i="1"/>
  <c r="AO21" i="1"/>
  <c r="AO20" i="1"/>
  <c r="AO19" i="1"/>
  <c r="AO18" i="1"/>
  <c r="AO17" i="1"/>
  <c r="AO16" i="1"/>
  <c r="AO15" i="1"/>
  <c r="AO14" i="1"/>
  <c r="AO13" i="1"/>
  <c r="AO11" i="1"/>
  <c r="AO12" i="1"/>
  <c r="AO9" i="1"/>
  <c r="AO8" i="1"/>
  <c r="AO7" i="1"/>
  <c r="AO6" i="1"/>
  <c r="U61" i="1"/>
  <c r="AQ61" i="1" s="1"/>
  <c r="U60" i="1"/>
  <c r="U59" i="1"/>
  <c r="U55" i="1"/>
  <c r="AQ55" i="1" s="1"/>
  <c r="AO60" i="1" l="1"/>
  <c r="AQ60" i="1"/>
  <c r="AP61" i="1"/>
  <c r="AP51" i="3"/>
  <c r="AP61" i="3"/>
  <c r="AO51" i="3"/>
  <c r="AO61" i="3"/>
  <c r="AP55" i="1"/>
  <c r="AN55" i="1"/>
  <c r="AO61" i="1"/>
  <c r="AP59" i="1"/>
  <c r="AP55" i="3"/>
  <c r="AN55" i="3"/>
  <c r="AP60" i="3"/>
  <c r="AP60" i="1"/>
  <c r="AP59" i="3"/>
  <c r="AD82" i="1"/>
  <c r="AD81" i="1"/>
  <c r="AD80" i="1"/>
  <c r="AD79" i="1"/>
  <c r="AD78" i="1"/>
  <c r="AD77" i="1"/>
  <c r="AD76" i="1"/>
  <c r="AD75" i="1"/>
  <c r="AD74" i="1"/>
  <c r="AD73" i="1"/>
  <c r="AD72" i="1"/>
  <c r="AD71" i="1"/>
  <c r="AD70" i="1"/>
  <c r="AD69" i="1"/>
  <c r="AD68" i="1"/>
  <c r="AD67" i="1"/>
  <c r="AD66" i="1"/>
  <c r="AD65" i="1"/>
  <c r="AD64" i="1"/>
  <c r="AD62" i="1"/>
  <c r="AD58" i="1"/>
  <c r="AD57" i="1"/>
  <c r="AD56" i="1"/>
  <c r="AD54" i="1"/>
  <c r="AD53" i="1"/>
  <c r="AD52" i="1"/>
  <c r="AD50" i="1"/>
  <c r="AD49" i="1"/>
  <c r="AD48" i="1"/>
  <c r="AD47" i="1"/>
  <c r="AD46" i="1"/>
  <c r="AD45" i="1"/>
  <c r="AD44" i="1"/>
  <c r="AD43" i="1"/>
  <c r="AD42" i="1"/>
  <c r="AD41" i="1"/>
  <c r="AD40" i="1"/>
  <c r="AD39" i="1"/>
  <c r="AD38" i="1"/>
  <c r="AD37" i="1"/>
  <c r="AD36" i="1"/>
  <c r="AD35" i="1"/>
  <c r="AD34" i="1"/>
  <c r="AD32" i="1"/>
  <c r="AD31" i="1"/>
  <c r="AD30" i="1"/>
  <c r="AD29" i="1"/>
  <c r="AD27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AD8" i="1"/>
  <c r="AD7" i="1"/>
  <c r="AD6" i="1"/>
  <c r="AD27" i="3" l="1"/>
  <c r="AD29" i="3"/>
  <c r="AD30" i="3"/>
  <c r="AD31" i="3"/>
  <c r="AD32" i="3"/>
  <c r="AD34" i="3"/>
  <c r="AD35" i="3"/>
  <c r="AD36" i="3"/>
  <c r="AD37" i="3"/>
  <c r="AD38" i="3"/>
  <c r="AD39" i="3"/>
  <c r="AD40" i="3"/>
  <c r="AD41" i="3"/>
  <c r="AD42" i="3"/>
  <c r="AD43" i="3"/>
  <c r="AD44" i="3"/>
  <c r="AD45" i="3"/>
  <c r="AD46" i="3"/>
  <c r="AD47" i="3"/>
  <c r="AD48" i="3"/>
  <c r="AD49" i="3"/>
  <c r="AD50" i="3"/>
  <c r="AD52" i="3"/>
  <c r="AD53" i="3"/>
  <c r="AD54" i="3"/>
  <c r="AD56" i="3"/>
  <c r="AD57" i="3"/>
  <c r="AD58" i="3"/>
  <c r="AD62" i="3"/>
  <c r="AD64" i="3"/>
  <c r="AD65" i="3"/>
  <c r="AD66" i="3"/>
  <c r="AD67" i="3"/>
  <c r="AD68" i="3"/>
  <c r="AD69" i="3"/>
  <c r="AD70" i="3"/>
  <c r="AD71" i="3"/>
  <c r="AD72" i="3"/>
  <c r="AD73" i="3"/>
  <c r="AD74" i="3"/>
  <c r="AD75" i="3"/>
  <c r="AD76" i="3"/>
  <c r="AD77" i="3"/>
  <c r="AD78" i="3"/>
  <c r="AD79" i="3"/>
  <c r="AD80" i="3"/>
  <c r="AD81" i="3"/>
  <c r="AD82" i="3"/>
  <c r="T61" i="3"/>
  <c r="AE61" i="3" s="1"/>
  <c r="T60" i="3"/>
  <c r="AE60" i="3" s="1"/>
  <c r="T59" i="3"/>
  <c r="AE59" i="3" s="1"/>
  <c r="T51" i="3"/>
  <c r="AE51" i="3" s="1"/>
  <c r="AD24" i="3"/>
  <c r="AD23" i="3"/>
  <c r="AD22" i="3"/>
  <c r="AD21" i="3"/>
  <c r="AD20" i="3"/>
  <c r="AD19" i="3"/>
  <c r="AD18" i="3"/>
  <c r="AD17" i="3"/>
  <c r="AD16" i="3"/>
  <c r="AD15" i="3"/>
  <c r="AD14" i="3"/>
  <c r="AD13" i="3"/>
  <c r="AD12" i="3"/>
  <c r="AD11" i="3"/>
  <c r="AD10" i="3"/>
  <c r="AD9" i="3"/>
  <c r="AD8" i="3"/>
  <c r="AD7" i="3"/>
  <c r="AD6" i="3"/>
  <c r="T55" i="3"/>
  <c r="T55" i="1"/>
  <c r="AL25" i="1"/>
  <c r="AK25" i="1"/>
  <c r="AJ25" i="1"/>
  <c r="AI25" i="1"/>
  <c r="AH25" i="1"/>
  <c r="AC25" i="1"/>
  <c r="AB25" i="1"/>
  <c r="AA25" i="1"/>
  <c r="Z25" i="1"/>
  <c r="Y25" i="1"/>
  <c r="X25" i="1"/>
  <c r="AL25" i="3"/>
  <c r="AK25" i="3"/>
  <c r="AJ25" i="3"/>
  <c r="AI25" i="3"/>
  <c r="AH25" i="3"/>
  <c r="AC25" i="3"/>
  <c r="AB25" i="3"/>
  <c r="AA25" i="3"/>
  <c r="Z25" i="3"/>
  <c r="Y25" i="3"/>
  <c r="X25" i="3"/>
  <c r="T61" i="1"/>
  <c r="AE61" i="1" s="1"/>
  <c r="T60" i="1"/>
  <c r="AE60" i="1" s="1"/>
  <c r="T59" i="1"/>
  <c r="AE59" i="1" s="1"/>
  <c r="T51" i="1"/>
  <c r="AE51" i="1" s="1"/>
  <c r="AE55" i="1" l="1"/>
  <c r="AD55" i="3"/>
  <c r="AE55" i="3"/>
  <c r="AD55" i="1"/>
  <c r="AM82" i="3"/>
  <c r="AM81" i="3"/>
  <c r="AM80" i="3"/>
  <c r="AM79" i="3"/>
  <c r="AM78" i="3"/>
  <c r="AM77" i="3"/>
  <c r="AM76" i="3"/>
  <c r="AM75" i="3"/>
  <c r="AM74" i="3"/>
  <c r="AM73" i="3"/>
  <c r="AM72" i="3"/>
  <c r="AM71" i="3"/>
  <c r="AM70" i="3"/>
  <c r="AM69" i="3"/>
  <c r="AM68" i="3"/>
  <c r="AM67" i="3"/>
  <c r="AM66" i="3"/>
  <c r="AM65" i="3"/>
  <c r="AM64" i="3"/>
  <c r="AM63" i="3"/>
  <c r="AM62" i="3"/>
  <c r="AM58" i="3"/>
  <c r="AM57" i="3"/>
  <c r="AM55" i="3"/>
  <c r="AM54" i="3"/>
  <c r="AM52" i="3"/>
  <c r="AM50" i="3"/>
  <c r="AM49" i="3"/>
  <c r="AM48" i="3"/>
  <c r="AM47" i="3"/>
  <c r="AM46" i="3"/>
  <c r="AM45" i="3"/>
  <c r="AM44" i="3"/>
  <c r="AM43" i="3"/>
  <c r="AM42" i="3"/>
  <c r="AM41" i="3"/>
  <c r="AM40" i="3"/>
  <c r="AM39" i="3"/>
  <c r="AM38" i="3"/>
  <c r="AM37" i="3"/>
  <c r="AM36" i="3"/>
  <c r="AM35" i="3"/>
  <c r="AM34" i="3"/>
  <c r="AM32" i="3"/>
  <c r="AM31" i="3"/>
  <c r="AM30" i="3"/>
  <c r="AM29" i="3"/>
  <c r="AM27" i="3"/>
  <c r="AM24" i="3"/>
  <c r="AM23" i="3"/>
  <c r="AM22" i="3"/>
  <c r="AM21" i="3"/>
  <c r="AM20" i="3"/>
  <c r="AM19" i="3"/>
  <c r="AM18" i="3"/>
  <c r="AM17" i="3"/>
  <c r="AM16" i="3"/>
  <c r="AM15" i="3"/>
  <c r="AM14" i="3"/>
  <c r="AM13" i="3"/>
  <c r="AM12" i="3"/>
  <c r="AM11" i="3"/>
  <c r="AM10" i="3"/>
  <c r="AM9" i="3"/>
  <c r="AM8" i="3"/>
  <c r="AM7" i="3"/>
  <c r="AM6" i="3"/>
  <c r="S61" i="3"/>
  <c r="AN61" i="3" s="1"/>
  <c r="S60" i="3"/>
  <c r="AN60" i="3" s="1"/>
  <c r="S59" i="3"/>
  <c r="AN59" i="3" s="1"/>
  <c r="S51" i="3"/>
  <c r="AN51" i="3" s="1"/>
  <c r="S61" i="1" l="1"/>
  <c r="AN61" i="1" s="1"/>
  <c r="S60" i="1"/>
  <c r="AN60" i="1" s="1"/>
  <c r="S59" i="1"/>
  <c r="AN59" i="1" s="1"/>
  <c r="S51" i="1"/>
  <c r="AN51" i="1" s="1"/>
  <c r="R51" i="1"/>
  <c r="AD51" i="1" s="1"/>
  <c r="AM82" i="1"/>
  <c r="AM81" i="1"/>
  <c r="AM80" i="1"/>
  <c r="AM79" i="1"/>
  <c r="AM78" i="1"/>
  <c r="AM77" i="1"/>
  <c r="AM76" i="1"/>
  <c r="AM75" i="1"/>
  <c r="AM74" i="1"/>
  <c r="AM73" i="1"/>
  <c r="AM72" i="1"/>
  <c r="AM71" i="1"/>
  <c r="AM70" i="1"/>
  <c r="AM69" i="1"/>
  <c r="AM68" i="1"/>
  <c r="AM67" i="1"/>
  <c r="AM66" i="1"/>
  <c r="AM65" i="1"/>
  <c r="AM64" i="1"/>
  <c r="AM63" i="1"/>
  <c r="AM62" i="1"/>
  <c r="AM58" i="1"/>
  <c r="AM57" i="1"/>
  <c r="AM55" i="1"/>
  <c r="AM54" i="1"/>
  <c r="AM52" i="1"/>
  <c r="AM50" i="1"/>
  <c r="AM49" i="1"/>
  <c r="AM48" i="1"/>
  <c r="AM47" i="1"/>
  <c r="AM46" i="1"/>
  <c r="AM45" i="1"/>
  <c r="AM44" i="1"/>
  <c r="AM43" i="1"/>
  <c r="AM42" i="1"/>
  <c r="AM41" i="1"/>
  <c r="AM40" i="1"/>
  <c r="AM39" i="1"/>
  <c r="AM38" i="1"/>
  <c r="AM37" i="1"/>
  <c r="AM36" i="1"/>
  <c r="AM35" i="1"/>
  <c r="AM34" i="1"/>
  <c r="AM32" i="1"/>
  <c r="AM31" i="1"/>
  <c r="AM30" i="1"/>
  <c r="AM29" i="1"/>
  <c r="AM27" i="1"/>
  <c r="AM24" i="1"/>
  <c r="AM23" i="1"/>
  <c r="AM22" i="1"/>
  <c r="AM21" i="1"/>
  <c r="AM20" i="1"/>
  <c r="AM19" i="1"/>
  <c r="AM18" i="1"/>
  <c r="AM17" i="1"/>
  <c r="AM16" i="1"/>
  <c r="AM15" i="1"/>
  <c r="AM14" i="1"/>
  <c r="AM13" i="1"/>
  <c r="AM12" i="1"/>
  <c r="AM11" i="1"/>
  <c r="AM9" i="1"/>
  <c r="AM8" i="1"/>
  <c r="AM7" i="1"/>
  <c r="AM6" i="1"/>
  <c r="Y6" i="1"/>
  <c r="Z6" i="1"/>
  <c r="AA6" i="1"/>
  <c r="AB6" i="1"/>
  <c r="AC6" i="1"/>
  <c r="AH6" i="1"/>
  <c r="AI6" i="1"/>
  <c r="AJ6" i="1"/>
  <c r="AK6" i="1"/>
  <c r="AL6" i="1"/>
  <c r="Y7" i="1"/>
  <c r="Z7" i="1"/>
  <c r="AA7" i="1"/>
  <c r="AB7" i="1"/>
  <c r="AC7" i="1"/>
  <c r="AH7" i="1"/>
  <c r="AI7" i="1"/>
  <c r="AJ7" i="1"/>
  <c r="AK7" i="1"/>
  <c r="AL7" i="1"/>
  <c r="Y8" i="1"/>
  <c r="Z8" i="1"/>
  <c r="AA8" i="1"/>
  <c r="AB8" i="1"/>
  <c r="AC8" i="1"/>
  <c r="AH8" i="1"/>
  <c r="AI8" i="1"/>
  <c r="AJ8" i="1"/>
  <c r="AK8" i="1"/>
  <c r="AL8" i="1"/>
  <c r="X9" i="1"/>
  <c r="Y9" i="1"/>
  <c r="Z9" i="1"/>
  <c r="AA9" i="1"/>
  <c r="AH9" i="1"/>
  <c r="AI9" i="1"/>
  <c r="AJ9" i="1"/>
  <c r="AK9" i="1"/>
  <c r="AL9" i="1"/>
  <c r="Z11" i="1"/>
  <c r="AA11" i="1"/>
  <c r="AB11" i="1"/>
  <c r="AC11" i="1"/>
  <c r="AJ11" i="1"/>
  <c r="AK11" i="1"/>
  <c r="AL11" i="1"/>
  <c r="X12" i="1"/>
  <c r="Y12" i="1"/>
  <c r="Z12" i="1"/>
  <c r="AA12" i="1"/>
  <c r="AB12" i="1"/>
  <c r="AC12" i="1"/>
  <c r="AH12" i="1"/>
  <c r="AI12" i="1"/>
  <c r="AJ12" i="1"/>
  <c r="AK12" i="1"/>
  <c r="AL12" i="1"/>
  <c r="Z13" i="1"/>
  <c r="AA13" i="1"/>
  <c r="AB13" i="1"/>
  <c r="AC13" i="1"/>
  <c r="AJ13" i="1"/>
  <c r="AK13" i="1"/>
  <c r="AL13" i="1"/>
  <c r="X14" i="1"/>
  <c r="Y14" i="1"/>
  <c r="Z14" i="1"/>
  <c r="AA14" i="1"/>
  <c r="AB14" i="1"/>
  <c r="AC14" i="1"/>
  <c r="AH14" i="1"/>
  <c r="AI14" i="1"/>
  <c r="AJ14" i="1"/>
  <c r="AK14" i="1"/>
  <c r="AL14" i="1"/>
  <c r="X15" i="1"/>
  <c r="Y15" i="1"/>
  <c r="Z15" i="1"/>
  <c r="AA15" i="1"/>
  <c r="AB15" i="1"/>
  <c r="AC15" i="1"/>
  <c r="AH15" i="1"/>
  <c r="AI15" i="1"/>
  <c r="AJ15" i="1"/>
  <c r="AK15" i="1"/>
  <c r="AL15" i="1"/>
  <c r="X16" i="1"/>
  <c r="Y16" i="1"/>
  <c r="Z16" i="1"/>
  <c r="AA16" i="1"/>
  <c r="AB16" i="1"/>
  <c r="AC16" i="1"/>
  <c r="AH16" i="1"/>
  <c r="AI16" i="1"/>
  <c r="AJ16" i="1"/>
  <c r="AK16" i="1"/>
  <c r="AL16" i="1"/>
  <c r="X17" i="1"/>
  <c r="Y17" i="1"/>
  <c r="Z17" i="1"/>
  <c r="AA17" i="1"/>
  <c r="AB17" i="1"/>
  <c r="AC17" i="1"/>
  <c r="AH17" i="1"/>
  <c r="AI17" i="1"/>
  <c r="AJ17" i="1"/>
  <c r="AK17" i="1"/>
  <c r="AL17" i="1"/>
  <c r="X18" i="1"/>
  <c r="Y18" i="1"/>
  <c r="Z18" i="1"/>
  <c r="AA18" i="1"/>
  <c r="AB18" i="1"/>
  <c r="AC18" i="1"/>
  <c r="AH18" i="1"/>
  <c r="AI18" i="1"/>
  <c r="AJ18" i="1"/>
  <c r="AK18" i="1"/>
  <c r="AL18" i="1"/>
  <c r="X19" i="1"/>
  <c r="Y19" i="1"/>
  <c r="Z19" i="1"/>
  <c r="AA19" i="1"/>
  <c r="AB19" i="1"/>
  <c r="AC19" i="1"/>
  <c r="AH19" i="1"/>
  <c r="AI19" i="1"/>
  <c r="AJ19" i="1"/>
  <c r="AK19" i="1"/>
  <c r="AL19" i="1"/>
  <c r="X20" i="1"/>
  <c r="Y20" i="1"/>
  <c r="Z20" i="1"/>
  <c r="AA20" i="1"/>
  <c r="AB20" i="1"/>
  <c r="AC20" i="1"/>
  <c r="AH20" i="1"/>
  <c r="AI20" i="1"/>
  <c r="AJ20" i="1"/>
  <c r="AK20" i="1"/>
  <c r="AL20" i="1"/>
  <c r="X21" i="1"/>
  <c r="Y21" i="1"/>
  <c r="Z21" i="1"/>
  <c r="AA21" i="1"/>
  <c r="AB21" i="1"/>
  <c r="AC21" i="1"/>
  <c r="AH21" i="1"/>
  <c r="AI21" i="1"/>
  <c r="AJ21" i="1"/>
  <c r="AK21" i="1"/>
  <c r="AL21" i="1"/>
  <c r="X22" i="1"/>
  <c r="Y22" i="1"/>
  <c r="Z22" i="1"/>
  <c r="AA22" i="1"/>
  <c r="AB22" i="1"/>
  <c r="AC22" i="1"/>
  <c r="AH22" i="1"/>
  <c r="AI22" i="1"/>
  <c r="AJ22" i="1"/>
  <c r="AK22" i="1"/>
  <c r="AL22" i="1"/>
  <c r="X23" i="1"/>
  <c r="Y23" i="1"/>
  <c r="Z23" i="1"/>
  <c r="AA23" i="1"/>
  <c r="AB23" i="1"/>
  <c r="AC23" i="1"/>
  <c r="AH23" i="1"/>
  <c r="AI23" i="1"/>
  <c r="AJ23" i="1"/>
  <c r="AK23" i="1"/>
  <c r="AL23" i="1"/>
  <c r="X24" i="1"/>
  <c r="Y24" i="1"/>
  <c r="Z24" i="1"/>
  <c r="AA24" i="1"/>
  <c r="AB24" i="1"/>
  <c r="AC24" i="1"/>
  <c r="AH24" i="1"/>
  <c r="AI24" i="1"/>
  <c r="AJ24" i="1"/>
  <c r="AK24" i="1"/>
  <c r="AL24" i="1"/>
  <c r="X27" i="1"/>
  <c r="Y27" i="1"/>
  <c r="Z27" i="1"/>
  <c r="AA27" i="1"/>
  <c r="AB27" i="1"/>
  <c r="AC27" i="1"/>
  <c r="AH27" i="1"/>
  <c r="AI27" i="1"/>
  <c r="AJ27" i="1"/>
  <c r="AK27" i="1"/>
  <c r="AL27" i="1"/>
  <c r="X28" i="1"/>
  <c r="Y28" i="1"/>
  <c r="Z28" i="1"/>
  <c r="AA28" i="1"/>
  <c r="AB28" i="1"/>
  <c r="AH28" i="1"/>
  <c r="AI28" i="1"/>
  <c r="AJ28" i="1"/>
  <c r="AK28" i="1"/>
  <c r="X29" i="1"/>
  <c r="Y29" i="1"/>
  <c r="Z29" i="1"/>
  <c r="AA29" i="1"/>
  <c r="AB29" i="1"/>
  <c r="AC29" i="1"/>
  <c r="AH29" i="1"/>
  <c r="AI29" i="1"/>
  <c r="AJ29" i="1"/>
  <c r="AK29" i="1"/>
  <c r="AL29" i="1"/>
  <c r="X30" i="1"/>
  <c r="Y30" i="1"/>
  <c r="Z30" i="1"/>
  <c r="AA30" i="1"/>
  <c r="AB30" i="1"/>
  <c r="AC30" i="1"/>
  <c r="AH30" i="1"/>
  <c r="AI30" i="1"/>
  <c r="AJ30" i="1"/>
  <c r="AK30" i="1"/>
  <c r="AL30" i="1"/>
  <c r="X31" i="1"/>
  <c r="Y31" i="1"/>
  <c r="Z31" i="1"/>
  <c r="AA31" i="1"/>
  <c r="AB31" i="1"/>
  <c r="AC31" i="1"/>
  <c r="AH31" i="1"/>
  <c r="AI31" i="1"/>
  <c r="AJ31" i="1"/>
  <c r="AK31" i="1"/>
  <c r="AL31" i="1"/>
  <c r="X32" i="1"/>
  <c r="Y32" i="1"/>
  <c r="Z32" i="1"/>
  <c r="AA32" i="1"/>
  <c r="AB32" i="1"/>
  <c r="AC32" i="1"/>
  <c r="AH32" i="1"/>
  <c r="AI32" i="1"/>
  <c r="AJ32" i="1"/>
  <c r="AK32" i="1"/>
  <c r="AL32" i="1"/>
  <c r="X33" i="1"/>
  <c r="Y33" i="1"/>
  <c r="Z33" i="1"/>
  <c r="AA33" i="1"/>
  <c r="AB33" i="1"/>
  <c r="AH33" i="1"/>
  <c r="AI33" i="1"/>
  <c r="AJ33" i="1"/>
  <c r="AK33" i="1"/>
  <c r="X34" i="1"/>
  <c r="Y34" i="1"/>
  <c r="Z34" i="1"/>
  <c r="AA34" i="1"/>
  <c r="AB34" i="1"/>
  <c r="AC34" i="1"/>
  <c r="AH34" i="1"/>
  <c r="AI34" i="1"/>
  <c r="AJ34" i="1"/>
  <c r="AK34" i="1"/>
  <c r="AL34" i="1"/>
  <c r="X35" i="1"/>
  <c r="Y35" i="1"/>
  <c r="Z35" i="1"/>
  <c r="AA35" i="1"/>
  <c r="AB35" i="1"/>
  <c r="AC35" i="1"/>
  <c r="AH35" i="1"/>
  <c r="AI35" i="1"/>
  <c r="AJ35" i="1"/>
  <c r="AK35" i="1"/>
  <c r="AL35" i="1"/>
  <c r="Z36" i="1"/>
  <c r="AA36" i="1"/>
  <c r="AB36" i="1"/>
  <c r="AC36" i="1"/>
  <c r="AJ36" i="1"/>
  <c r="AK36" i="1"/>
  <c r="AL36" i="1"/>
  <c r="X37" i="1"/>
  <c r="Y37" i="1"/>
  <c r="Z37" i="1"/>
  <c r="AA37" i="1"/>
  <c r="AB37" i="1"/>
  <c r="AC37" i="1"/>
  <c r="AH37" i="1"/>
  <c r="AI37" i="1"/>
  <c r="AJ37" i="1"/>
  <c r="AK37" i="1"/>
  <c r="AL37" i="1"/>
  <c r="X38" i="1"/>
  <c r="Y38" i="1"/>
  <c r="Z38" i="1"/>
  <c r="AA38" i="1"/>
  <c r="AB38" i="1"/>
  <c r="AC38" i="1"/>
  <c r="AH38" i="1"/>
  <c r="AI38" i="1"/>
  <c r="AJ38" i="1"/>
  <c r="AK38" i="1"/>
  <c r="AL38" i="1"/>
  <c r="X39" i="1"/>
  <c r="Y39" i="1"/>
  <c r="Z39" i="1"/>
  <c r="AA39" i="1"/>
  <c r="AB39" i="1"/>
  <c r="AC39" i="1"/>
  <c r="AH39" i="1"/>
  <c r="AI39" i="1"/>
  <c r="AJ39" i="1"/>
  <c r="AK39" i="1"/>
  <c r="AL39" i="1"/>
  <c r="X40" i="1"/>
  <c r="Y40" i="1"/>
  <c r="Z40" i="1"/>
  <c r="AA40" i="1"/>
  <c r="AB40" i="1"/>
  <c r="AC40" i="1"/>
  <c r="AH40" i="1"/>
  <c r="AI40" i="1"/>
  <c r="AJ40" i="1"/>
  <c r="AK40" i="1"/>
  <c r="AL40" i="1"/>
  <c r="X41" i="1"/>
  <c r="Y41" i="1"/>
  <c r="Z41" i="1"/>
  <c r="AA41" i="1"/>
  <c r="AB41" i="1"/>
  <c r="AC41" i="1"/>
  <c r="AH41" i="1"/>
  <c r="AI41" i="1"/>
  <c r="AJ41" i="1"/>
  <c r="AK41" i="1"/>
  <c r="AL41" i="1"/>
  <c r="Z42" i="1"/>
  <c r="AA42" i="1"/>
  <c r="AB42" i="1"/>
  <c r="AC42" i="1"/>
  <c r="AJ42" i="1"/>
  <c r="AK42" i="1"/>
  <c r="AL42" i="1"/>
  <c r="X43" i="1"/>
  <c r="Y43" i="1"/>
  <c r="Z43" i="1"/>
  <c r="AA43" i="1"/>
  <c r="AB43" i="1"/>
  <c r="AC43" i="1"/>
  <c r="AH43" i="1"/>
  <c r="AI43" i="1"/>
  <c r="AJ43" i="1"/>
  <c r="AK43" i="1"/>
  <c r="AL43" i="1"/>
  <c r="X44" i="1"/>
  <c r="Y44" i="1"/>
  <c r="Z44" i="1"/>
  <c r="AA44" i="1"/>
  <c r="AB44" i="1"/>
  <c r="AC44" i="1"/>
  <c r="AH44" i="1"/>
  <c r="AI44" i="1"/>
  <c r="AJ44" i="1"/>
  <c r="AK44" i="1"/>
  <c r="AL44" i="1"/>
  <c r="X45" i="1"/>
  <c r="Y45" i="1"/>
  <c r="Z45" i="1"/>
  <c r="AA45" i="1"/>
  <c r="AB45" i="1"/>
  <c r="AC45" i="1"/>
  <c r="AH45" i="1"/>
  <c r="AI45" i="1"/>
  <c r="AJ45" i="1"/>
  <c r="AK45" i="1"/>
  <c r="AL45" i="1"/>
  <c r="X46" i="1"/>
  <c r="Y46" i="1"/>
  <c r="Z46" i="1"/>
  <c r="AA46" i="1"/>
  <c r="AB46" i="1"/>
  <c r="AC46" i="1"/>
  <c r="AH46" i="1"/>
  <c r="AI46" i="1"/>
  <c r="AJ46" i="1"/>
  <c r="AK46" i="1"/>
  <c r="AL46" i="1"/>
  <c r="X47" i="1"/>
  <c r="Y47" i="1"/>
  <c r="Z47" i="1"/>
  <c r="AA47" i="1"/>
  <c r="AB47" i="1"/>
  <c r="AC47" i="1"/>
  <c r="AH47" i="1"/>
  <c r="AI47" i="1"/>
  <c r="AJ47" i="1"/>
  <c r="AK47" i="1"/>
  <c r="AL47" i="1"/>
  <c r="X48" i="1"/>
  <c r="Y48" i="1"/>
  <c r="Z48" i="1"/>
  <c r="AA48" i="1"/>
  <c r="AB48" i="1"/>
  <c r="AC48" i="1"/>
  <c r="AH48" i="1"/>
  <c r="AI48" i="1"/>
  <c r="AJ48" i="1"/>
  <c r="AK48" i="1"/>
  <c r="AL48" i="1"/>
  <c r="X49" i="1"/>
  <c r="Y49" i="1"/>
  <c r="Z49" i="1"/>
  <c r="AA49" i="1"/>
  <c r="AB49" i="1"/>
  <c r="AC49" i="1"/>
  <c r="AH49" i="1"/>
  <c r="AI49" i="1"/>
  <c r="AJ49" i="1"/>
  <c r="AK49" i="1"/>
  <c r="AL49" i="1"/>
  <c r="X50" i="1"/>
  <c r="Y50" i="1"/>
  <c r="Z50" i="1"/>
  <c r="AA50" i="1"/>
  <c r="AB50" i="1"/>
  <c r="AC50" i="1"/>
  <c r="AH50" i="1"/>
  <c r="AI50" i="1"/>
  <c r="AJ50" i="1"/>
  <c r="AK50" i="1"/>
  <c r="AL50" i="1"/>
  <c r="AC81" i="3" l="1"/>
  <c r="AC80" i="3"/>
  <c r="AC79" i="3"/>
  <c r="AC78" i="3"/>
  <c r="AC77" i="3"/>
  <c r="AC76" i="3"/>
  <c r="AC75" i="3"/>
  <c r="AC74" i="3"/>
  <c r="AC73" i="3"/>
  <c r="AC72" i="3"/>
  <c r="AC71" i="3"/>
  <c r="AC70" i="3"/>
  <c r="AC69" i="3"/>
  <c r="AC68" i="3"/>
  <c r="AC67" i="3"/>
  <c r="AC66" i="3"/>
  <c r="AC65" i="3"/>
  <c r="AC64" i="3"/>
  <c r="AC63" i="3"/>
  <c r="AC62" i="3"/>
  <c r="AC58" i="3"/>
  <c r="AC57" i="3"/>
  <c r="AC54" i="3"/>
  <c r="AC52" i="3"/>
  <c r="AC50" i="3"/>
  <c r="AC49" i="3"/>
  <c r="AC48" i="3"/>
  <c r="AC47" i="3"/>
  <c r="AC46" i="3"/>
  <c r="AC45" i="3"/>
  <c r="AC44" i="3"/>
  <c r="AC43" i="3"/>
  <c r="AC42" i="3"/>
  <c r="AC41" i="3"/>
  <c r="AC40" i="3"/>
  <c r="AC39" i="3"/>
  <c r="AC38" i="3"/>
  <c r="AC37" i="3"/>
  <c r="AC36" i="3"/>
  <c r="AC35" i="3"/>
  <c r="AC34" i="3"/>
  <c r="AC32" i="3"/>
  <c r="AC31" i="3"/>
  <c r="AC30" i="3"/>
  <c r="AC29" i="3"/>
  <c r="AC27" i="3"/>
  <c r="AC24" i="3"/>
  <c r="AC23" i="3"/>
  <c r="AC22" i="3"/>
  <c r="AC21" i="3"/>
  <c r="AC20" i="3"/>
  <c r="AC19" i="3"/>
  <c r="AC18" i="3"/>
  <c r="AC17" i="3"/>
  <c r="AC16" i="3"/>
  <c r="AC15" i="3"/>
  <c r="AC14" i="3"/>
  <c r="AC13" i="3"/>
  <c r="AC12" i="3"/>
  <c r="AC11" i="3"/>
  <c r="AC8" i="3"/>
  <c r="AC7" i="3"/>
  <c r="AC6" i="3"/>
  <c r="AC81" i="1" l="1"/>
  <c r="AC80" i="1"/>
  <c r="AC79" i="1"/>
  <c r="AC78" i="1"/>
  <c r="AC77" i="1"/>
  <c r="AC76" i="1"/>
  <c r="AC75" i="1"/>
  <c r="AC74" i="1"/>
  <c r="AC73" i="1"/>
  <c r="AC72" i="1"/>
  <c r="AC71" i="1"/>
  <c r="AC70" i="1"/>
  <c r="AC69" i="1"/>
  <c r="AC68" i="1"/>
  <c r="AC67" i="1"/>
  <c r="AC66" i="1"/>
  <c r="AC65" i="1"/>
  <c r="AC64" i="1"/>
  <c r="AC63" i="1"/>
  <c r="AC62" i="1"/>
  <c r="AC58" i="1"/>
  <c r="AC57" i="1"/>
  <c r="AC54" i="1"/>
  <c r="AC52" i="1"/>
  <c r="R61" i="3"/>
  <c r="AD61" i="3" s="1"/>
  <c r="R60" i="3"/>
  <c r="AD60" i="3" s="1"/>
  <c r="R59" i="3"/>
  <c r="AD59" i="3" s="1"/>
  <c r="R51" i="3"/>
  <c r="AD51" i="3" s="1"/>
  <c r="R61" i="1"/>
  <c r="AD61" i="1" s="1"/>
  <c r="R60" i="1"/>
  <c r="AD60" i="1" s="1"/>
  <c r="R59" i="1"/>
  <c r="AD59" i="1" s="1"/>
  <c r="AL16" i="3" l="1"/>
  <c r="AL82" i="1" l="1"/>
  <c r="AL81" i="1"/>
  <c r="AL80" i="1"/>
  <c r="AL79" i="1"/>
  <c r="AL78" i="1"/>
  <c r="AL77" i="1"/>
  <c r="AL76" i="1"/>
  <c r="AL75" i="1"/>
  <c r="AL74" i="1"/>
  <c r="AL73" i="1"/>
  <c r="AL72" i="1"/>
  <c r="AL71" i="1"/>
  <c r="AL70" i="1"/>
  <c r="AL69" i="1"/>
  <c r="AL68" i="1"/>
  <c r="AL67" i="1"/>
  <c r="AL66" i="1"/>
  <c r="AL65" i="1"/>
  <c r="AL64" i="1"/>
  <c r="AL63" i="1"/>
  <c r="AL62" i="1"/>
  <c r="AL58" i="1"/>
  <c r="AL57" i="1"/>
  <c r="AL54" i="1"/>
  <c r="AL52" i="1"/>
  <c r="Q61" i="1"/>
  <c r="AM61" i="1" s="1"/>
  <c r="P61" i="1"/>
  <c r="AC61" i="1" s="1"/>
  <c r="Q60" i="1"/>
  <c r="AM60" i="1" s="1"/>
  <c r="P60" i="1"/>
  <c r="AC60" i="1" s="1"/>
  <c r="Q59" i="1"/>
  <c r="AM59" i="1" s="1"/>
  <c r="P59" i="1"/>
  <c r="AC59" i="1" s="1"/>
  <c r="Q51" i="1"/>
  <c r="AM51" i="1" s="1"/>
  <c r="P51" i="1"/>
  <c r="AC51" i="1" s="1"/>
  <c r="Q61" i="3"/>
  <c r="Q60" i="3"/>
  <c r="Q59" i="3"/>
  <c r="Q51" i="3"/>
  <c r="AM51" i="3" l="1"/>
  <c r="AM59" i="3"/>
  <c r="AM60" i="3"/>
  <c r="AM61" i="3"/>
  <c r="AL61" i="1"/>
  <c r="AL59" i="1"/>
  <c r="AL60" i="1"/>
  <c r="AL51" i="1"/>
  <c r="P61" i="3"/>
  <c r="AC61" i="3" s="1"/>
  <c r="P60" i="3"/>
  <c r="AC60" i="3" s="1"/>
  <c r="P59" i="3"/>
  <c r="AC59" i="3" s="1"/>
  <c r="P51" i="3"/>
  <c r="AC51" i="3" s="1"/>
  <c r="AL82" i="3"/>
  <c r="AL81" i="3"/>
  <c r="AL80" i="3"/>
  <c r="AL79" i="3"/>
  <c r="AL78" i="3"/>
  <c r="AL77" i="3"/>
  <c r="AL76" i="3"/>
  <c r="AL75" i="3"/>
  <c r="AL74" i="3"/>
  <c r="AL73" i="3"/>
  <c r="AL72" i="3"/>
  <c r="AL71" i="3"/>
  <c r="AL70" i="3"/>
  <c r="AL69" i="3"/>
  <c r="AL68" i="3"/>
  <c r="AL67" i="3"/>
  <c r="AL66" i="3"/>
  <c r="AL65" i="3"/>
  <c r="AL64" i="3"/>
  <c r="AL63" i="3"/>
  <c r="AL62" i="3"/>
  <c r="AL61" i="3"/>
  <c r="AL60" i="3"/>
  <c r="AL59" i="3"/>
  <c r="AL58" i="3"/>
  <c r="AL57" i="3"/>
  <c r="AL54" i="3"/>
  <c r="AL52" i="3"/>
  <c r="AL51" i="3"/>
  <c r="AL50" i="3"/>
  <c r="AL49" i="3"/>
  <c r="AL48" i="3"/>
  <c r="AL47" i="3"/>
  <c r="AL46" i="3"/>
  <c r="AL45" i="3"/>
  <c r="AL44" i="3"/>
  <c r="AL43" i="3"/>
  <c r="AL42" i="3"/>
  <c r="AL41" i="3"/>
  <c r="AL40" i="3"/>
  <c r="AL39" i="3"/>
  <c r="AL38" i="3"/>
  <c r="AL37" i="3"/>
  <c r="AL36" i="3"/>
  <c r="AL35" i="3"/>
  <c r="AL34" i="3"/>
  <c r="AL32" i="3"/>
  <c r="AL31" i="3"/>
  <c r="AL30" i="3"/>
  <c r="AL29" i="3"/>
  <c r="AL27" i="3"/>
  <c r="AL24" i="3"/>
  <c r="AL23" i="3"/>
  <c r="AL22" i="3"/>
  <c r="AL21" i="3"/>
  <c r="AL20" i="3"/>
  <c r="AL19" i="3"/>
  <c r="AL18" i="3"/>
  <c r="AL17" i="3"/>
  <c r="AL15" i="3"/>
  <c r="AL14" i="3"/>
  <c r="AL13" i="3"/>
  <c r="AL12" i="3"/>
  <c r="AL11" i="3"/>
  <c r="AL9" i="3"/>
  <c r="AL8" i="3"/>
  <c r="AL7" i="3"/>
  <c r="AL6" i="3"/>
  <c r="AB61" i="1" l="1"/>
  <c r="AB60" i="1"/>
  <c r="AB59" i="1"/>
  <c r="AB51" i="1"/>
  <c r="AB79" i="1"/>
  <c r="AB77" i="1"/>
  <c r="AB76" i="1"/>
  <c r="AB75" i="1"/>
  <c r="AB71" i="1"/>
  <c r="AB69" i="1"/>
  <c r="AB68" i="1"/>
  <c r="AB67" i="1"/>
  <c r="AB66" i="1"/>
  <c r="AB58" i="1"/>
  <c r="AB54" i="1"/>
  <c r="AB52" i="1" l="1"/>
  <c r="AB72" i="1"/>
  <c r="AB73" i="1"/>
  <c r="AB62" i="1"/>
  <c r="AB78" i="1"/>
  <c r="AB64" i="1"/>
  <c r="AB80" i="1"/>
  <c r="AB65" i="1"/>
  <c r="AB81" i="1"/>
  <c r="AB70" i="1"/>
  <c r="AB63" i="1"/>
  <c r="AB57" i="1"/>
  <c r="AB74" i="1"/>
  <c r="AB65" i="3"/>
  <c r="AB64" i="3"/>
  <c r="AB45" i="3"/>
  <c r="AB33" i="3"/>
  <c r="AB30" i="3"/>
  <c r="AB13" i="3"/>
  <c r="AB12" i="3"/>
  <c r="AB81" i="3" l="1"/>
  <c r="AB46" i="3"/>
  <c r="AB37" i="3"/>
  <c r="AB76" i="3"/>
  <c r="AB6" i="3"/>
  <c r="AB38" i="3"/>
  <c r="AB80" i="3"/>
  <c r="AB20" i="3"/>
  <c r="AB54" i="3"/>
  <c r="AB21" i="3"/>
  <c r="AB57" i="3"/>
  <c r="AB60" i="3"/>
  <c r="AB16" i="3"/>
  <c r="AB41" i="3"/>
  <c r="AB68" i="3"/>
  <c r="AB24" i="3"/>
  <c r="AB72" i="3"/>
  <c r="AB29" i="3"/>
  <c r="AB49" i="3"/>
  <c r="AB73" i="3"/>
  <c r="AB14" i="3"/>
  <c r="AB22" i="3"/>
  <c r="AB31" i="3"/>
  <c r="AB39" i="3"/>
  <c r="AB47" i="3"/>
  <c r="AB58" i="3"/>
  <c r="AB66" i="3"/>
  <c r="AB74" i="3"/>
  <c r="AB15" i="3"/>
  <c r="AB23" i="3"/>
  <c r="AB32" i="3"/>
  <c r="AB40" i="3"/>
  <c r="AB48" i="3"/>
  <c r="AB59" i="3"/>
  <c r="AB67" i="3"/>
  <c r="AB75" i="3"/>
  <c r="AB7" i="3"/>
  <c r="AB17" i="3"/>
  <c r="AB34" i="3"/>
  <c r="AB42" i="3"/>
  <c r="AB50" i="3"/>
  <c r="AB61" i="3"/>
  <c r="AB69" i="3"/>
  <c r="AB77" i="3"/>
  <c r="AB8" i="3"/>
  <c r="AB18" i="3"/>
  <c r="AB27" i="3"/>
  <c r="AB35" i="3"/>
  <c r="AB43" i="3"/>
  <c r="AB51" i="3"/>
  <c r="AB62" i="3"/>
  <c r="AB70" i="3"/>
  <c r="AB78" i="3"/>
  <c r="AB11" i="3"/>
  <c r="AB19" i="3"/>
  <c r="AB28" i="3"/>
  <c r="AB36" i="3"/>
  <c r="AB44" i="3"/>
  <c r="AB52" i="3"/>
  <c r="AB63" i="3"/>
  <c r="AB71" i="3"/>
  <c r="AB79" i="3"/>
  <c r="AK82" i="1"/>
  <c r="AK81" i="1"/>
  <c r="AK75" i="1"/>
  <c r="AK74" i="1"/>
  <c r="AK73" i="1"/>
  <c r="AK67" i="1"/>
  <c r="AK66" i="1"/>
  <c r="AK65" i="1"/>
  <c r="AK61" i="1"/>
  <c r="AK51" i="1"/>
  <c r="AK60" i="1"/>
  <c r="AK59" i="1"/>
  <c r="AK80" i="1"/>
  <c r="AK79" i="1"/>
  <c r="AK78" i="1"/>
  <c r="AK77" i="1"/>
  <c r="AK76" i="1"/>
  <c r="AK72" i="1"/>
  <c r="AK71" i="1"/>
  <c r="AK70" i="1"/>
  <c r="AK69" i="1"/>
  <c r="AK68" i="1"/>
  <c r="AK64" i="1"/>
  <c r="AK63" i="1"/>
  <c r="AK62" i="1"/>
  <c r="AK54" i="1"/>
  <c r="AK52" i="1"/>
  <c r="AK58" i="1" l="1"/>
  <c r="AK57" i="1"/>
  <c r="AK20" i="3" l="1"/>
  <c r="AK57" i="3"/>
  <c r="AK59" i="3"/>
  <c r="AK13" i="3"/>
  <c r="AK30" i="3"/>
  <c r="AK46" i="3"/>
  <c r="AK58" i="3"/>
  <c r="AK69" i="3"/>
  <c r="AK77" i="3"/>
  <c r="AK60" i="3"/>
  <c r="AK14" i="3"/>
  <c r="AK22" i="3"/>
  <c r="AK31" i="3"/>
  <c r="AK39" i="3"/>
  <c r="AK47" i="3"/>
  <c r="AK62" i="3"/>
  <c r="AK70" i="3"/>
  <c r="AK78" i="3"/>
  <c r="AK61" i="3"/>
  <c r="AK6" i="3"/>
  <c r="AK15" i="3"/>
  <c r="AK23" i="3"/>
  <c r="AK32" i="3"/>
  <c r="AK40" i="3"/>
  <c r="AK48" i="3"/>
  <c r="AK63" i="3"/>
  <c r="AK71" i="3"/>
  <c r="AK79" i="3"/>
  <c r="AK29" i="3"/>
  <c r="AK68" i="3"/>
  <c r="AK7" i="3"/>
  <c r="AK16" i="3"/>
  <c r="AK24" i="3"/>
  <c r="AK33" i="3"/>
  <c r="AK41" i="3"/>
  <c r="AK49" i="3"/>
  <c r="AK64" i="3"/>
  <c r="AK72" i="3"/>
  <c r="AK80" i="3"/>
  <c r="AK8" i="3"/>
  <c r="AK17" i="3"/>
  <c r="AK34" i="3"/>
  <c r="AK50" i="3"/>
  <c r="AK65" i="3"/>
  <c r="AK73" i="3"/>
  <c r="AK81" i="3"/>
  <c r="AK37" i="3"/>
  <c r="AK18" i="3"/>
  <c r="AK35" i="3"/>
  <c r="AK43" i="3"/>
  <c r="AK52" i="3"/>
  <c r="AK66" i="3"/>
  <c r="AK74" i="3"/>
  <c r="AK82" i="3"/>
  <c r="AK12" i="3"/>
  <c r="AK45" i="3"/>
  <c r="AK76" i="3"/>
  <c r="AK9" i="3"/>
  <c r="AK27" i="3"/>
  <c r="AK11" i="3"/>
  <c r="AK19" i="3"/>
  <c r="AK28" i="3"/>
  <c r="AK36" i="3"/>
  <c r="AK44" i="3"/>
  <c r="AK54" i="3"/>
  <c r="AK67" i="3"/>
  <c r="AK75" i="3"/>
  <c r="AK51" i="3"/>
  <c r="AK42" i="3"/>
  <c r="AK21" i="3"/>
  <c r="AK38" i="3"/>
  <c r="AJ82" i="1"/>
  <c r="AJ81" i="1"/>
  <c r="AJ80" i="1"/>
  <c r="AJ79" i="1"/>
  <c r="AJ78" i="1"/>
  <c r="AJ77" i="1"/>
  <c r="AJ76" i="1"/>
  <c r="AJ75" i="1"/>
  <c r="AJ74" i="1"/>
  <c r="AJ73" i="1"/>
  <c r="AJ72" i="1"/>
  <c r="AJ71" i="1"/>
  <c r="AJ70" i="1"/>
  <c r="AJ69" i="1"/>
  <c r="AJ68" i="1"/>
  <c r="AJ67" i="1"/>
  <c r="AJ66" i="1"/>
  <c r="AJ65" i="1"/>
  <c r="AJ64" i="1"/>
  <c r="AJ63" i="1"/>
  <c r="AJ62" i="1"/>
  <c r="AJ61" i="1"/>
  <c r="AJ60" i="1"/>
  <c r="AJ59" i="1"/>
  <c r="AJ58" i="1"/>
  <c r="AJ57" i="1"/>
  <c r="AJ54" i="1"/>
  <c r="AJ52" i="1"/>
  <c r="AJ51" i="1"/>
  <c r="AA66" i="3"/>
  <c r="AA52" i="3"/>
  <c r="AA50" i="3"/>
  <c r="AA61" i="3"/>
  <c r="AA60" i="3"/>
  <c r="AA59" i="3"/>
  <c r="AA80" i="3"/>
  <c r="AA77" i="3"/>
  <c r="AA72" i="3"/>
  <c r="AA69" i="3"/>
  <c r="AA68" i="3"/>
  <c r="AA67" i="3"/>
  <c r="AA64" i="3"/>
  <c r="AA47" i="3"/>
  <c r="AA41" i="3"/>
  <c r="AA39" i="3"/>
  <c r="AA33" i="3"/>
  <c r="AA27" i="3"/>
  <c r="AA24" i="3"/>
  <c r="AA16" i="3"/>
  <c r="AA15" i="3"/>
  <c r="AA11" i="3"/>
  <c r="AA7" i="3"/>
  <c r="AA6" i="3"/>
  <c r="AA82" i="3"/>
  <c r="AA81" i="3"/>
  <c r="AA78" i="3"/>
  <c r="AA74" i="3"/>
  <c r="AA73" i="3"/>
  <c r="AA70" i="3"/>
  <c r="AA43" i="3"/>
  <c r="AA42" i="3"/>
  <c r="AA35" i="3"/>
  <c r="AA34" i="3"/>
  <c r="AA17" i="3"/>
  <c r="AA8" i="3"/>
  <c r="AA18" i="3" l="1"/>
  <c r="AA9" i="3"/>
  <c r="AA79" i="3"/>
  <c r="AA32" i="3"/>
  <c r="AA48" i="3"/>
  <c r="AA49" i="3"/>
  <c r="AA23" i="3"/>
  <c r="AA40" i="3"/>
  <c r="AA57" i="3"/>
  <c r="AA71" i="3"/>
  <c r="AA65" i="3"/>
  <c r="AA19" i="3"/>
  <c r="AA36" i="3"/>
  <c r="AA44" i="3"/>
  <c r="AA12" i="3"/>
  <c r="AA20" i="3"/>
  <c r="AA29" i="3"/>
  <c r="AA37" i="3"/>
  <c r="AA45" i="3"/>
  <c r="AA51" i="3"/>
  <c r="AA62" i="3"/>
  <c r="AA21" i="3"/>
  <c r="AA30" i="3"/>
  <c r="AA38" i="3"/>
  <c r="AA75" i="3"/>
  <c r="AA63" i="3"/>
  <c r="AA58" i="3"/>
  <c r="AA13" i="3"/>
  <c r="AA46" i="3"/>
  <c r="AA14" i="3"/>
  <c r="AA22" i="3"/>
  <c r="AA31" i="3"/>
  <c r="AA76" i="3"/>
  <c r="AA54" i="3"/>
  <c r="AA28" i="3"/>
  <c r="AI61" i="3"/>
  <c r="AI60" i="3"/>
  <c r="AI59" i="3"/>
  <c r="AI51" i="3"/>
  <c r="AI51" i="1" l="1"/>
  <c r="AI61" i="1"/>
  <c r="AI60" i="1"/>
  <c r="AI59" i="1"/>
  <c r="AH74" i="3" l="1"/>
  <c r="AH73" i="3"/>
  <c r="AH72" i="3"/>
  <c r="AH71" i="3"/>
  <c r="AH70" i="3"/>
  <c r="AH69" i="3"/>
  <c r="AH68" i="3"/>
  <c r="AH67" i="3"/>
  <c r="AH66" i="3"/>
  <c r="AH65" i="3"/>
  <c r="AH64" i="3"/>
  <c r="AH63" i="3"/>
  <c r="AH62" i="3"/>
  <c r="AH61" i="3"/>
  <c r="AH60" i="3"/>
  <c r="AH59" i="3"/>
  <c r="AH58" i="3"/>
  <c r="AH57" i="3"/>
  <c r="AH52" i="3"/>
  <c r="AH51" i="3"/>
  <c r="AH50" i="3"/>
  <c r="AH49" i="3"/>
  <c r="AH48" i="3"/>
  <c r="AH47" i="3"/>
  <c r="AH46" i="3"/>
  <c r="AH45" i="3"/>
  <c r="AH44" i="3"/>
  <c r="AH43" i="3"/>
  <c r="AH41" i="3"/>
  <c r="AH40" i="3"/>
  <c r="AH39" i="3"/>
  <c r="AH38" i="3"/>
  <c r="AH37" i="3"/>
  <c r="AH35" i="3"/>
  <c r="AH34" i="3"/>
  <c r="AH33" i="3"/>
  <c r="AH32" i="3"/>
  <c r="AH31" i="3"/>
  <c r="AH30" i="3"/>
  <c r="AH29" i="3"/>
  <c r="AH28" i="3"/>
  <c r="AH27" i="3"/>
  <c r="AH24" i="3"/>
  <c r="AH23" i="3"/>
  <c r="AH22" i="3"/>
  <c r="AH21" i="3"/>
  <c r="AH20" i="3"/>
  <c r="AH19" i="3"/>
  <c r="AH18" i="3"/>
  <c r="AH17" i="3"/>
  <c r="AH16" i="3"/>
  <c r="AH15" i="3"/>
  <c r="AH14" i="3"/>
  <c r="AH12" i="3"/>
  <c r="AH9" i="3"/>
  <c r="AH8" i="3"/>
  <c r="AH7" i="3"/>
  <c r="AH6" i="3"/>
  <c r="AH74" i="1" l="1"/>
  <c r="AH73" i="1"/>
  <c r="AH72" i="1"/>
  <c r="AH71" i="1"/>
  <c r="AH70" i="1"/>
  <c r="AH69" i="1"/>
  <c r="AH68" i="1"/>
  <c r="AH67" i="1"/>
  <c r="AH66" i="1"/>
  <c r="AH65" i="1"/>
  <c r="AH64" i="1"/>
  <c r="AH63" i="1"/>
  <c r="AH62" i="1"/>
  <c r="AH61" i="1"/>
  <c r="AH60" i="1"/>
  <c r="AH59" i="1"/>
  <c r="AH58" i="1"/>
  <c r="AH57" i="1"/>
  <c r="AH52" i="1"/>
  <c r="AH51" i="1"/>
  <c r="AA52" i="1" l="1"/>
  <c r="AA80" i="1"/>
  <c r="AA75" i="1"/>
  <c r="AA69" i="1"/>
  <c r="AA78" i="1"/>
  <c r="AA79" i="1"/>
  <c r="AA72" i="1"/>
  <c r="AA66" i="1"/>
  <c r="AA74" i="1"/>
  <c r="AA54" i="1"/>
  <c r="AA67" i="1"/>
  <c r="AA57" i="1"/>
  <c r="AA68" i="1"/>
  <c r="AA76" i="1"/>
  <c r="AA58" i="1"/>
  <c r="AA62" i="1"/>
  <c r="AA63" i="1"/>
  <c r="AA64" i="1"/>
  <c r="AA65" i="1"/>
  <c r="AA73" i="1"/>
  <c r="AA81" i="1"/>
  <c r="AA77" i="1"/>
  <c r="AA70" i="1"/>
  <c r="AA71" i="1"/>
  <c r="AA82" i="1"/>
  <c r="AJ82" i="3"/>
  <c r="AJ81" i="3"/>
  <c r="AJ80" i="3"/>
  <c r="AJ79" i="3"/>
  <c r="AJ78" i="3"/>
  <c r="AJ77" i="3"/>
  <c r="AJ76" i="3"/>
  <c r="AJ75" i="3"/>
  <c r="AJ74" i="3"/>
  <c r="AJ73" i="3"/>
  <c r="AJ72" i="3"/>
  <c r="AJ71" i="3"/>
  <c r="AJ70" i="3"/>
  <c r="AJ69" i="3"/>
  <c r="AJ68" i="3"/>
  <c r="AJ67" i="3"/>
  <c r="AJ66" i="3"/>
  <c r="AJ65" i="3"/>
  <c r="AJ64" i="3"/>
  <c r="AJ63" i="3"/>
  <c r="AJ62" i="3"/>
  <c r="AJ58" i="3"/>
  <c r="AJ57" i="3"/>
  <c r="AJ54" i="3"/>
  <c r="AJ52" i="3"/>
  <c r="AJ50" i="3"/>
  <c r="AJ49" i="3"/>
  <c r="AJ48" i="3"/>
  <c r="AJ47" i="3"/>
  <c r="AJ46" i="3"/>
  <c r="AJ45" i="3"/>
  <c r="AJ44" i="3"/>
  <c r="AJ43" i="3"/>
  <c r="AJ42" i="3"/>
  <c r="AJ41" i="3"/>
  <c r="AJ40" i="3"/>
  <c r="AJ39" i="3"/>
  <c r="AJ38" i="3"/>
  <c r="AJ37" i="3"/>
  <c r="AJ36" i="3"/>
  <c r="AJ35" i="3"/>
  <c r="AJ34" i="3"/>
  <c r="AJ33" i="3"/>
  <c r="AJ32" i="3"/>
  <c r="AJ31" i="3"/>
  <c r="AJ30" i="3"/>
  <c r="AJ29" i="3"/>
  <c r="AJ28" i="3"/>
  <c r="AJ27" i="3"/>
  <c r="AJ24" i="3"/>
  <c r="AJ23" i="3"/>
  <c r="AJ22" i="3"/>
  <c r="AJ21" i="3"/>
  <c r="AJ20" i="3"/>
  <c r="AJ19" i="3"/>
  <c r="AJ18" i="3"/>
  <c r="AJ17" i="3"/>
  <c r="AJ16" i="3"/>
  <c r="AJ15" i="3"/>
  <c r="AJ14" i="3"/>
  <c r="AJ13" i="3"/>
  <c r="AJ12" i="3"/>
  <c r="AJ11" i="3"/>
  <c r="AJ9" i="3"/>
  <c r="AJ8" i="3"/>
  <c r="AJ7" i="3"/>
  <c r="AJ6" i="3"/>
  <c r="AJ51" i="3" l="1"/>
  <c r="AJ59" i="3"/>
  <c r="AJ60" i="3"/>
  <c r="AJ61" i="3"/>
  <c r="AA59" i="1" l="1"/>
  <c r="AA51" i="1" l="1"/>
  <c r="AA60" i="1"/>
  <c r="AA61" i="1"/>
  <c r="Z82" i="1" l="1"/>
  <c r="Z81" i="1"/>
  <c r="Z80" i="1"/>
  <c r="Z79" i="1"/>
  <c r="Z78" i="1"/>
  <c r="Z76" i="1"/>
  <c r="Z75" i="1"/>
  <c r="Z74" i="1"/>
  <c r="Z73" i="1"/>
  <c r="Z72" i="1"/>
  <c r="Z71" i="1"/>
  <c r="Z70" i="1"/>
  <c r="Z69" i="1"/>
  <c r="Z68" i="1"/>
  <c r="Z67" i="1"/>
  <c r="Z66" i="1"/>
  <c r="Z65" i="1"/>
  <c r="Z64" i="1"/>
  <c r="Z63" i="1"/>
  <c r="Z62" i="1"/>
  <c r="Z59" i="1"/>
  <c r="Z58" i="1"/>
  <c r="Z57" i="1"/>
  <c r="Z54" i="1"/>
  <c r="Z52" i="1"/>
  <c r="Z51" i="1"/>
  <c r="Z60" i="1" l="1"/>
  <c r="Z61" i="1"/>
  <c r="Z77" i="1"/>
  <c r="Z63" i="3" l="1"/>
  <c r="Z81" i="3"/>
  <c r="Z74" i="3"/>
  <c r="Z9" i="3"/>
  <c r="Z77" i="3" l="1"/>
  <c r="Z59" i="3" l="1"/>
  <c r="Z82" i="3"/>
  <c r="Z80" i="3"/>
  <c r="Z79" i="3"/>
  <c r="Z78" i="3"/>
  <c r="Z76" i="3"/>
  <c r="Z75" i="3"/>
  <c r="Z73" i="3"/>
  <c r="Z72" i="3"/>
  <c r="Z71" i="3"/>
  <c r="Z70" i="3"/>
  <c r="Z69" i="3"/>
  <c r="Z68" i="3"/>
  <c r="Z67" i="3"/>
  <c r="Z66" i="3"/>
  <c r="Z65" i="3"/>
  <c r="Z64" i="3"/>
  <c r="Z62" i="3"/>
  <c r="Z61" i="3"/>
  <c r="Z60" i="3"/>
  <c r="Z58" i="3"/>
  <c r="Z57" i="3"/>
  <c r="Z54" i="3"/>
  <c r="Z52" i="3"/>
  <c r="Z51" i="3"/>
  <c r="Z50" i="3"/>
  <c r="Z49" i="3"/>
  <c r="Z48" i="3"/>
  <c r="Z47" i="3"/>
  <c r="Z46" i="3"/>
  <c r="Z45" i="3"/>
  <c r="Z44" i="3"/>
  <c r="Z43" i="3"/>
  <c r="Z42" i="3"/>
  <c r="Z41" i="3"/>
  <c r="Z40" i="3"/>
  <c r="Z39" i="3"/>
  <c r="Z38" i="3"/>
  <c r="Z37" i="3"/>
  <c r="Z36" i="3"/>
  <c r="Z35" i="3"/>
  <c r="Z34" i="3"/>
  <c r="Z33" i="3"/>
  <c r="Z32" i="3"/>
  <c r="Z31" i="3"/>
  <c r="Z30" i="3"/>
  <c r="Z29" i="3"/>
  <c r="Z28" i="3"/>
  <c r="Z27" i="3"/>
  <c r="Z24" i="3"/>
  <c r="Z23" i="3"/>
  <c r="Z22" i="3"/>
  <c r="Z21" i="3"/>
  <c r="Z20" i="3"/>
  <c r="Z19" i="3"/>
  <c r="Z18" i="3"/>
  <c r="Z17" i="3"/>
  <c r="Z16" i="3"/>
  <c r="Z15" i="3"/>
  <c r="Z14" i="3"/>
  <c r="Z13" i="3"/>
  <c r="Z12" i="3"/>
  <c r="Z11" i="3"/>
  <c r="Z8" i="3"/>
  <c r="Z7" i="3"/>
  <c r="Z6" i="3"/>
  <c r="AI74" i="1" l="1"/>
  <c r="AI73" i="1"/>
  <c r="AI72" i="1"/>
  <c r="AI71" i="1"/>
  <c r="AI70" i="1"/>
  <c r="AI69" i="1"/>
  <c r="AI68" i="1"/>
  <c r="AI67" i="1"/>
  <c r="AI66" i="1"/>
  <c r="AI65" i="1"/>
  <c r="AI64" i="1"/>
  <c r="AI63" i="1"/>
  <c r="AI62" i="1"/>
  <c r="AI58" i="1"/>
  <c r="AI57" i="1"/>
  <c r="AI52" i="1"/>
  <c r="AI74" i="3"/>
  <c r="AI73" i="3"/>
  <c r="AI72" i="3"/>
  <c r="AI71" i="3"/>
  <c r="AI70" i="3"/>
  <c r="AI69" i="3"/>
  <c r="AI68" i="3"/>
  <c r="AI67" i="3"/>
  <c r="AI66" i="3"/>
  <c r="AI65" i="3"/>
  <c r="AI64" i="3"/>
  <c r="AI63" i="3"/>
  <c r="AI62" i="3"/>
  <c r="AI58" i="3"/>
  <c r="AI57" i="3"/>
  <c r="AI52" i="3"/>
  <c r="AI50" i="3"/>
  <c r="AI49" i="3"/>
  <c r="AI48" i="3"/>
  <c r="AI47" i="3"/>
  <c r="AI46" i="3"/>
  <c r="AI45" i="3"/>
  <c r="AI44" i="3"/>
  <c r="AI43" i="3"/>
  <c r="AI41" i="3"/>
  <c r="AI40" i="3"/>
  <c r="AI39" i="3"/>
  <c r="AI38" i="3"/>
  <c r="AI37" i="3"/>
  <c r="AI35" i="3"/>
  <c r="AI34" i="3"/>
  <c r="AI33" i="3"/>
  <c r="AI32" i="3"/>
  <c r="AI31" i="3"/>
  <c r="AI30" i="3"/>
  <c r="AI29" i="3"/>
  <c r="AI28" i="3"/>
  <c r="AI27" i="3"/>
  <c r="AI24" i="3"/>
  <c r="AI23" i="3"/>
  <c r="AI22" i="3"/>
  <c r="AI21" i="3"/>
  <c r="AI20" i="3"/>
  <c r="AI19" i="3"/>
  <c r="AI18" i="3"/>
  <c r="AI17" i="3"/>
  <c r="AI16" i="3"/>
  <c r="AI15" i="3"/>
  <c r="AI14" i="3"/>
  <c r="AI12" i="3"/>
  <c r="AI9" i="3"/>
  <c r="AI8" i="3"/>
  <c r="AI7" i="3"/>
  <c r="AI6" i="3"/>
  <c r="X39" i="3" l="1"/>
  <c r="Y60" i="3"/>
  <c r="Y61" i="3"/>
  <c r="Y74" i="3" l="1"/>
  <c r="Y73" i="3"/>
  <c r="Y72" i="3"/>
  <c r="Y71" i="3"/>
  <c r="Y70" i="3"/>
  <c r="Y69" i="3"/>
  <c r="Y68" i="3"/>
  <c r="Y67" i="3"/>
  <c r="Y66" i="3"/>
  <c r="Y65" i="3"/>
  <c r="Y64" i="3"/>
  <c r="Y63" i="3"/>
  <c r="Y62" i="3"/>
  <c r="Y59" i="3"/>
  <c r="Y58" i="3"/>
  <c r="Y57" i="3"/>
  <c r="Y52" i="3"/>
  <c r="X52" i="3"/>
  <c r="Y51" i="3"/>
  <c r="X51" i="3"/>
  <c r="Y50" i="3"/>
  <c r="X50" i="3"/>
  <c r="Y49" i="3"/>
  <c r="X49" i="3"/>
  <c r="Y48" i="3"/>
  <c r="X48" i="3"/>
  <c r="Y47" i="3"/>
  <c r="X47" i="3"/>
  <c r="Y46" i="3"/>
  <c r="X46" i="3"/>
  <c r="Y45" i="3"/>
  <c r="X45" i="3"/>
  <c r="Y44" i="3"/>
  <c r="X44" i="3"/>
  <c r="Y43" i="3"/>
  <c r="X43" i="3"/>
  <c r="Y41" i="3"/>
  <c r="X41" i="3"/>
  <c r="Y40" i="3"/>
  <c r="X40" i="3"/>
  <c r="Y39" i="3"/>
  <c r="Y38" i="3"/>
  <c r="X38" i="3"/>
  <c r="Y37" i="3"/>
  <c r="X37" i="3"/>
  <c r="Y35" i="3"/>
  <c r="X35" i="3"/>
  <c r="Y34" i="3"/>
  <c r="X34" i="3"/>
  <c r="Y33" i="3"/>
  <c r="X33" i="3"/>
  <c r="Y32" i="3"/>
  <c r="X32" i="3"/>
  <c r="Y31" i="3"/>
  <c r="X31" i="3"/>
  <c r="Y30" i="3"/>
  <c r="X30" i="3"/>
  <c r="Y29" i="3"/>
  <c r="X29" i="3"/>
  <c r="Y28" i="3"/>
  <c r="X28" i="3"/>
  <c r="Y27" i="3"/>
  <c r="X27" i="3"/>
  <c r="Y24" i="3"/>
  <c r="X24" i="3"/>
  <c r="Y23" i="3"/>
  <c r="X23" i="3"/>
  <c r="Y22" i="3"/>
  <c r="X22" i="3"/>
  <c r="Y21" i="3"/>
  <c r="X21" i="3"/>
  <c r="Y20" i="3"/>
  <c r="X20" i="3"/>
  <c r="Y19" i="3"/>
  <c r="X19" i="3"/>
  <c r="Y18" i="3"/>
  <c r="X18" i="3"/>
  <c r="Y17" i="3"/>
  <c r="X17" i="3"/>
  <c r="Y16" i="3"/>
  <c r="X16" i="3"/>
  <c r="Y15" i="3"/>
  <c r="X15" i="3"/>
  <c r="Y14" i="3"/>
  <c r="X14" i="3"/>
  <c r="Y12" i="3"/>
  <c r="X12" i="3"/>
  <c r="Y9" i="3"/>
  <c r="X9" i="3"/>
  <c r="Y8" i="3"/>
  <c r="Y7" i="3"/>
  <c r="Y6" i="3"/>
  <c r="Y61" i="1"/>
  <c r="Y60" i="1"/>
  <c r="X52" i="1" l="1"/>
  <c r="X51" i="1"/>
  <c r="Y74" i="1"/>
  <c r="Y73" i="1"/>
  <c r="Y72" i="1"/>
  <c r="Y71" i="1"/>
  <c r="Y70" i="1"/>
  <c r="Y69" i="1"/>
  <c r="Y68" i="1"/>
  <c r="Y67" i="1"/>
  <c r="Y66" i="1"/>
  <c r="Y65" i="1"/>
  <c r="Y64" i="1"/>
  <c r="Y63" i="1"/>
  <c r="Y62" i="1"/>
  <c r="Y59" i="1"/>
  <c r="Y58" i="1"/>
  <c r="Y57" i="1"/>
  <c r="Y52" i="1"/>
  <c r="Y51" i="1"/>
</calcChain>
</file>

<file path=xl/sharedStrings.xml><?xml version="1.0" encoding="utf-8"?>
<sst xmlns="http://schemas.openxmlformats.org/spreadsheetml/2006/main" count="321" uniqueCount="128">
  <si>
    <t>NOTARB</t>
  </si>
  <si>
    <t>HPGN 06 06</t>
  </si>
  <si>
    <t>SSH</t>
  </si>
  <si>
    <t>375 USE</t>
  </si>
  <si>
    <t>ALEX 5</t>
  </si>
  <si>
    <t>WES</t>
  </si>
  <si>
    <t>D 158 RESET</t>
  </si>
  <si>
    <t>DWIGHT</t>
  </si>
  <si>
    <t>USHER</t>
  </si>
  <si>
    <t>F 928</t>
  </si>
  <si>
    <t>FIREPORT</t>
  </si>
  <si>
    <t>FREMONT</t>
  </si>
  <si>
    <t>H 1235 RESET</t>
  </si>
  <si>
    <t>HPGN CA 10 04</t>
  </si>
  <si>
    <t>HPGN D CA 06 NF</t>
  </si>
  <si>
    <t>HPGN D CA 06 QF</t>
  </si>
  <si>
    <t>HPGN D CA 10 BK</t>
  </si>
  <si>
    <t>J 1233</t>
  </si>
  <si>
    <t>K 361</t>
  </si>
  <si>
    <t>KELLIE</t>
  </si>
  <si>
    <t>LIVINGSTON RESET</t>
  </si>
  <si>
    <t>NEWMAN NW BASE</t>
  </si>
  <si>
    <t>SALT RM1</t>
  </si>
  <si>
    <t>RBF 1027</t>
  </si>
  <si>
    <t>RBF 1057</t>
  </si>
  <si>
    <t>1007R</t>
  </si>
  <si>
    <t>RBF 1009</t>
  </si>
  <si>
    <t>R940 RESET</t>
  </si>
  <si>
    <t>W 938 RESET</t>
  </si>
  <si>
    <t>BURNSIDE</t>
  </si>
  <si>
    <t>MURIETTA</t>
  </si>
  <si>
    <t>BLYTHE</t>
  </si>
  <si>
    <t>HARMON</t>
  </si>
  <si>
    <t>DWR 154.33</t>
  </si>
  <si>
    <t>MELISSA</t>
  </si>
  <si>
    <t>V513</t>
  </si>
  <si>
    <t>AA4259</t>
  </si>
  <si>
    <t>HPGN D CA 10 FP</t>
  </si>
  <si>
    <t>AC5729</t>
  </si>
  <si>
    <t>DH6665</t>
  </si>
  <si>
    <t>MATTHEW</t>
  </si>
  <si>
    <t>DH6671</t>
  </si>
  <si>
    <t>PEYTON</t>
  </si>
  <si>
    <t>GU0278</t>
  </si>
  <si>
    <t>J 1074</t>
  </si>
  <si>
    <t>GU0492</t>
  </si>
  <si>
    <t>L 928</t>
  </si>
  <si>
    <t>57.95 USBR</t>
  </si>
  <si>
    <t>HPGN 06 07</t>
  </si>
  <si>
    <t>HPGN CA 06 03</t>
  </si>
  <si>
    <t>HPGN CA 10 01</t>
  </si>
  <si>
    <t>HPGN D CA 06 RG</t>
  </si>
  <si>
    <t>HPGN D CA 06 SG</t>
  </si>
  <si>
    <t>SHAWN</t>
  </si>
  <si>
    <t>PT</t>
  </si>
  <si>
    <t xml:space="preserve">Northing </t>
  </si>
  <si>
    <t>Easting</t>
  </si>
  <si>
    <t>Elev</t>
  </si>
  <si>
    <t>Desc</t>
  </si>
  <si>
    <t>RBF 1007 RESET</t>
  </si>
  <si>
    <t>X 989</t>
  </si>
  <si>
    <t>E1420</t>
  </si>
  <si>
    <t>G 706 RESET</t>
  </si>
  <si>
    <t>HPGN D CA 06 RF</t>
  </si>
  <si>
    <t>SPEAK AZ MK</t>
  </si>
  <si>
    <t>T 987 CADWR</t>
  </si>
  <si>
    <t>W 990 CADWR</t>
  </si>
  <si>
    <t>WILLIAM 3</t>
  </si>
  <si>
    <t>RBF1026</t>
  </si>
  <si>
    <t>RBF 1047 RESET</t>
  </si>
  <si>
    <t>4S3</t>
  </si>
  <si>
    <t>1053R</t>
  </si>
  <si>
    <t>RBF 1053 RESET</t>
  </si>
  <si>
    <t>1054R</t>
  </si>
  <si>
    <t>RBF 1054 RESET</t>
  </si>
  <si>
    <t>1055R</t>
  </si>
  <si>
    <t>F 158 RESET 1967</t>
  </si>
  <si>
    <t>MARTIN 2008</t>
  </si>
  <si>
    <t>X1235</t>
  </si>
  <si>
    <t>HETFIELD</t>
  </si>
  <si>
    <t>RBF 1055 RESET</t>
  </si>
  <si>
    <t>Central Valley California</t>
  </si>
  <si>
    <t>U.S. Bureau of Reclamation Static GPS Survey  for Subsidence Monitoring</t>
  </si>
  <si>
    <t>NAVD 88</t>
  </si>
  <si>
    <t>NAD 83 (2007) CA Zone 4 - US Feet</t>
  </si>
  <si>
    <t>NAVD 1988 Elevation of Monitoring Point (feet)</t>
  </si>
  <si>
    <t>Dec - Dec Annual Subsidence (feet)</t>
  </si>
  <si>
    <t>BM 160R add -1.663 to GPS Elevation for Final Elevation</t>
  </si>
  <si>
    <t>BM 1053R add -7.877 to GPS Elevation for Final Elevation</t>
  </si>
  <si>
    <t>BM 1054R add -2.177 to GPS Elevation for Final Elevation</t>
  </si>
  <si>
    <t>BM 1055R add +0.633 to GPS Elevation for Final Elevation</t>
  </si>
  <si>
    <t>Bureau of Reclamation Static GPS Survey  for Subsidence Monitoring</t>
  </si>
  <si>
    <t>July - July Annual Subsidence (feet)</t>
  </si>
  <si>
    <t>Shorter Duration  (Calculation starts with first December occupation or first July occupation)</t>
  </si>
  <si>
    <t>Previous</t>
  </si>
  <si>
    <t>160R</t>
  </si>
  <si>
    <t>HS2494</t>
  </si>
  <si>
    <t>LIFESON</t>
  </si>
  <si>
    <t>H41 1941</t>
  </si>
  <si>
    <t>HELMER</t>
  </si>
  <si>
    <t xml:space="preserve"> </t>
  </si>
  <si>
    <t>201R</t>
  </si>
  <si>
    <t>G 990 RESET</t>
  </si>
  <si>
    <t>132R</t>
  </si>
  <si>
    <t>Destroyed</t>
  </si>
  <si>
    <t>BM 2062T ?????????</t>
  </si>
  <si>
    <t>GPS observation point moved for safety or constuction activity. Adjustment elevations modified to original monitoring point via levels (See below for deltas).</t>
  </si>
  <si>
    <t>Destroyed with no ability to relate new monitoing point to original monitoring point.</t>
  </si>
  <si>
    <t>ALISO WD 1 RESET</t>
  </si>
  <si>
    <t xml:space="preserve">G 990 </t>
  </si>
  <si>
    <t>BM 201R add -11.23 to GPS Elevation for Final Elevation</t>
  </si>
  <si>
    <t>Y 549</t>
  </si>
  <si>
    <t>KAKTUS  (Offset)</t>
  </si>
  <si>
    <t>KAKTUS (Offset)</t>
  </si>
  <si>
    <t>GT1871A</t>
  </si>
  <si>
    <t>CBP/SJB</t>
  </si>
  <si>
    <t>E 1420</t>
  </si>
  <si>
    <t>G 706 RESET 1962</t>
  </si>
  <si>
    <t>PK SET NEAR BC G 990 +/-</t>
  </si>
  <si>
    <t>HPGN</t>
  </si>
  <si>
    <t>NEWMAN</t>
  </si>
  <si>
    <t>SALT RM</t>
  </si>
  <si>
    <t>SPEAK AZ MK CADH</t>
  </si>
  <si>
    <t>WILLIAM3</t>
  </si>
  <si>
    <t>Flooded could not get to</t>
  </si>
  <si>
    <t>Access Flooded</t>
  </si>
  <si>
    <t>Free Adjustment - December 2020</t>
  </si>
  <si>
    <t>Constrained Adj - December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</si>
</sst>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left"/>
    </xf>
    <xf numFmtId="17" fontId="0" fillId="0" borderId="14" xfId="0" applyNumberFormat="1" applyBorder="1" applyAlignment="1">
      <alignment horizontal="center"/>
    </xf>
    <xf numFmtId="0" fontId="0" fillId="0" borderId="10" xfId="0" applyBorder="1"/>
    <xf numFmtId="0" fontId="0" fillId="0" borderId="0" xfId="0" applyFill="1"/>
    <xf numFmtId="0" fontId="0" fillId="0" borderId="0" xfId="0" applyFill="1" applyAlignment="1">
      <alignment horizontal="center"/>
    </xf>
    <xf numFmtId="2" fontId="0" fillId="0" borderId="0" xfId="0" applyNumberFormat="1" applyFill="1"/>
    <xf numFmtId="0" fontId="0" fillId="0" borderId="0" xfId="0"/>
    <xf numFmtId="0" fontId="18" fillId="0" borderId="0" xfId="0" applyFont="1" applyAlignment="1">
      <alignment horizontal="center"/>
    </xf>
    <xf numFmtId="0" fontId="0" fillId="0" borderId="0" xfId="0"/>
    <xf numFmtId="0" fontId="0" fillId="0" borderId="0" xfId="0"/>
    <xf numFmtId="0" fontId="19" fillId="33" borderId="10" xfId="0" applyFont="1" applyFill="1" applyBorder="1" applyAlignment="1">
      <alignment horizontal="center"/>
    </xf>
    <xf numFmtId="0" fontId="19" fillId="33" borderId="10" xfId="0" applyFont="1" applyFill="1" applyBorder="1"/>
    <xf numFmtId="0" fontId="0" fillId="33" borderId="10" xfId="0" applyFill="1" applyBorder="1" applyAlignment="1">
      <alignment horizontal="center"/>
    </xf>
    <xf numFmtId="0" fontId="0" fillId="33" borderId="10" xfId="0" applyFill="1" applyBorder="1"/>
    <xf numFmtId="0" fontId="0" fillId="33" borderId="0" xfId="0" applyFill="1"/>
    <xf numFmtId="164" fontId="0" fillId="0" borderId="0" xfId="0" applyNumberFormat="1" applyBorder="1" applyAlignment="1">
      <alignment horizontal="center"/>
    </xf>
    <xf numFmtId="0" fontId="0" fillId="0" borderId="0" xfId="0"/>
    <xf numFmtId="0" fontId="0" fillId="0" borderId="18" xfId="0" applyBorder="1" applyAlignment="1">
      <alignment horizontal="center"/>
    </xf>
    <xf numFmtId="0" fontId="0" fillId="0" borderId="0" xfId="0" applyBorder="1"/>
    <xf numFmtId="0" fontId="0" fillId="0" borderId="20" xfId="0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17" fontId="0" fillId="0" borderId="13" xfId="0" applyNumberFormat="1" applyFill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18" fillId="0" borderId="10" xfId="0" applyNumberFormat="1" applyFont="1" applyBorder="1" applyAlignment="1">
      <alignment horizontal="center"/>
    </xf>
    <xf numFmtId="2" fontId="19" fillId="0" borderId="10" xfId="0" applyNumberFormat="1" applyFont="1" applyBorder="1" applyAlignment="1">
      <alignment horizontal="center"/>
    </xf>
    <xf numFmtId="2" fontId="19" fillId="0" borderId="10" xfId="0" applyNumberFormat="1" applyFont="1" applyFill="1" applyBorder="1" applyAlignment="1">
      <alignment horizontal="center"/>
    </xf>
    <xf numFmtId="2" fontId="0" fillId="0" borderId="10" xfId="0" applyNumberFormat="1" applyFill="1" applyBorder="1" applyAlignment="1">
      <alignment horizontal="center"/>
    </xf>
    <xf numFmtId="2" fontId="18" fillId="0" borderId="16" xfId="0" applyNumberFormat="1" applyFont="1" applyBorder="1" applyAlignment="1">
      <alignment horizontal="center"/>
    </xf>
    <xf numFmtId="17" fontId="0" fillId="0" borderId="15" xfId="0" quotePrefix="1" applyNumberFormat="1" applyBorder="1" applyAlignment="1">
      <alignment horizontal="center"/>
    </xf>
    <xf numFmtId="17" fontId="0" fillId="0" borderId="15" xfId="0" applyNumberFormat="1" applyBorder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/>
    <xf numFmtId="17" fontId="0" fillId="0" borderId="0" xfId="0" applyNumberFormat="1" applyFont="1" applyBorder="1" applyAlignment="1">
      <alignment horizontal="center"/>
    </xf>
    <xf numFmtId="17" fontId="0" fillId="0" borderId="21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0" xfId="0"/>
    <xf numFmtId="0" fontId="0" fillId="0" borderId="10" xfId="0" applyFill="1" applyBorder="1"/>
    <xf numFmtId="0" fontId="0" fillId="0" borderId="0" xfId="0"/>
    <xf numFmtId="2" fontId="0" fillId="0" borderId="1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17" fontId="0" fillId="0" borderId="22" xfId="0" quotePrefix="1" applyNumberFormat="1" applyFill="1" applyBorder="1" applyAlignment="1">
      <alignment horizontal="center"/>
    </xf>
    <xf numFmtId="0" fontId="0" fillId="0" borderId="0" xfId="0"/>
    <xf numFmtId="2" fontId="0" fillId="0" borderId="10" xfId="0" applyNumberFormat="1" applyBorder="1" applyAlignment="1">
      <alignment horizontal="center"/>
    </xf>
    <xf numFmtId="2" fontId="19" fillId="0" borderId="10" xfId="0" applyNumberFormat="1" applyFon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Border="1" applyAlignment="1">
      <alignment horizontal="center"/>
    </xf>
    <xf numFmtId="0" fontId="0" fillId="34" borderId="10" xfId="0" applyFill="1" applyBorder="1" applyAlignment="1">
      <alignment horizontal="center"/>
    </xf>
    <xf numFmtId="0" fontId="0" fillId="34" borderId="10" xfId="0" applyFill="1" applyBorder="1"/>
    <xf numFmtId="0" fontId="0" fillId="34" borderId="0" xfId="0" applyFill="1" applyAlignment="1">
      <alignment horizontal="center"/>
    </xf>
    <xf numFmtId="0" fontId="0" fillId="0" borderId="0" xfId="0"/>
    <xf numFmtId="0" fontId="0" fillId="0" borderId="0" xfId="0"/>
    <xf numFmtId="17" fontId="0" fillId="0" borderId="13" xfId="0" applyNumberFormat="1" applyFill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18" fillId="0" borderId="10" xfId="0" applyNumberFormat="1" applyFont="1" applyBorder="1" applyAlignment="1">
      <alignment horizontal="center"/>
    </xf>
    <xf numFmtId="2" fontId="19" fillId="0" borderId="10" xfId="0" applyNumberFormat="1" applyFont="1" applyBorder="1" applyAlignment="1">
      <alignment horizontal="center"/>
    </xf>
    <xf numFmtId="2" fontId="0" fillId="0" borderId="10" xfId="0" applyNumberFormat="1" applyFill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17" fontId="0" fillId="0" borderId="15" xfId="0" applyNumberFormat="1" applyBorder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35" borderId="10" xfId="0" applyFill="1" applyBorder="1" applyAlignment="1">
      <alignment horizontal="center"/>
    </xf>
    <xf numFmtId="2" fontId="0" fillId="35" borderId="10" xfId="0" applyNumberFormat="1" applyFill="1" applyBorder="1" applyAlignment="1">
      <alignment horizontal="center"/>
    </xf>
    <xf numFmtId="0" fontId="0" fillId="35" borderId="10" xfId="0" applyFill="1" applyBorder="1"/>
    <xf numFmtId="0" fontId="0" fillId="0" borderId="0" xfId="0" applyBorder="1" applyAlignment="1">
      <alignment horizontal="center"/>
    </xf>
    <xf numFmtId="2" fontId="0" fillId="0" borderId="10" xfId="0" applyNumberFormat="1" applyFill="1" applyBorder="1"/>
    <xf numFmtId="0" fontId="0" fillId="0" borderId="0" xfId="0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0" fillId="36" borderId="10" xfId="0" applyFill="1" applyBorder="1" applyAlignment="1">
      <alignment horizontal="center"/>
    </xf>
    <xf numFmtId="0" fontId="0" fillId="35" borderId="0" xfId="0" applyFill="1"/>
    <xf numFmtId="2" fontId="19" fillId="35" borderId="10" xfId="0" applyNumberFormat="1" applyFont="1" applyFill="1" applyBorder="1" applyAlignment="1">
      <alignment horizontal="center"/>
    </xf>
    <xf numFmtId="2" fontId="0" fillId="35" borderId="10" xfId="0" applyNumberFormat="1" applyFont="1" applyFill="1" applyBorder="1" applyAlignment="1">
      <alignment horizontal="center"/>
    </xf>
    <xf numFmtId="2" fontId="18" fillId="35" borderId="10" xfId="0" applyNumberFormat="1" applyFont="1" applyFill="1" applyBorder="1" applyAlignment="1">
      <alignment horizontal="center"/>
    </xf>
    <xf numFmtId="2" fontId="0" fillId="35" borderId="13" xfId="0" applyNumberFormat="1" applyFill="1" applyBorder="1" applyAlignment="1">
      <alignment horizontal="center"/>
    </xf>
    <xf numFmtId="0" fontId="0" fillId="36" borderId="0" xfId="0" applyFill="1" applyAlignment="1">
      <alignment horizontal="center"/>
    </xf>
    <xf numFmtId="0" fontId="0" fillId="36" borderId="10" xfId="0" applyFill="1" applyBorder="1"/>
    <xf numFmtId="0" fontId="0" fillId="35" borderId="10" xfId="0" applyFill="1" applyBorder="1" applyAlignment="1">
      <alignment horizontal="left"/>
    </xf>
    <xf numFmtId="17" fontId="0" fillId="0" borderId="23" xfId="0" applyNumberFormat="1" applyBorder="1" applyAlignment="1">
      <alignment horizontal="center"/>
    </xf>
    <xf numFmtId="17" fontId="0" fillId="0" borderId="18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2" fontId="0" fillId="0" borderId="16" xfId="0" applyNumberFormat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36" borderId="10" xfId="0" applyFill="1" applyBorder="1" applyAlignment="1">
      <alignment horizontal="left"/>
    </xf>
    <xf numFmtId="17" fontId="0" fillId="0" borderId="13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2" fontId="14" fillId="0" borderId="10" xfId="0" applyNumberFormat="1" applyFont="1" applyBorder="1" applyAlignment="1">
      <alignment horizontal="center"/>
    </xf>
    <xf numFmtId="17" fontId="0" fillId="35" borderId="15" xfId="0" applyNumberFormat="1" applyFill="1" applyBorder="1" applyAlignment="1">
      <alignment horizontal="center"/>
    </xf>
    <xf numFmtId="17" fontId="0" fillId="35" borderId="13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Font="1" applyBorder="1" applyAlignment="1">
      <alignment horizontal="center"/>
    </xf>
    <xf numFmtId="2" fontId="0" fillId="33" borderId="10" xfId="0" applyNumberFormat="1" applyFill="1" applyBorder="1" applyAlignment="1">
      <alignment horizontal="center"/>
    </xf>
    <xf numFmtId="2" fontId="0" fillId="35" borderId="16" xfId="0" applyNumberFormat="1" applyFill="1" applyBorder="1" applyAlignment="1">
      <alignment horizontal="center"/>
    </xf>
    <xf numFmtId="0" fontId="0" fillId="35" borderId="16" xfId="0" applyFill="1" applyBorder="1" applyAlignment="1">
      <alignment horizontal="center"/>
    </xf>
    <xf numFmtId="0" fontId="0" fillId="35" borderId="0" xfId="0" applyFill="1" applyBorder="1" applyAlignment="1">
      <alignment horizontal="center"/>
    </xf>
    <xf numFmtId="17" fontId="0" fillId="0" borderId="10" xfId="0" applyNumberForma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2" xfId="0" applyBorder="1" applyAlignment="1">
      <alignment horizontal="center"/>
    </xf>
    <xf numFmtId="2" fontId="0" fillId="34" borderId="10" xfId="0" applyNumberFormat="1" applyFill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34" borderId="14" xfId="0" applyNumberFormat="1" applyFill="1" applyBorder="1" applyAlignment="1">
      <alignment horizontal="center"/>
    </xf>
    <xf numFmtId="17" fontId="0" fillId="0" borderId="15" xfId="0" applyNumberFormat="1" applyFill="1" applyBorder="1" applyAlignment="1">
      <alignment horizontal="center"/>
    </xf>
    <xf numFmtId="17" fontId="0" fillId="0" borderId="14" xfId="0" applyNumberFormat="1" applyFill="1" applyBorder="1" applyAlignment="1">
      <alignment horizontal="center"/>
    </xf>
    <xf numFmtId="2" fontId="18" fillId="0" borderId="10" xfId="0" applyNumberFormat="1" applyFont="1" applyFill="1" applyBorder="1" applyAlignment="1">
      <alignment horizontal="center"/>
    </xf>
    <xf numFmtId="2" fontId="0" fillId="36" borderId="10" xfId="0" applyNumberFormat="1" applyFill="1" applyBorder="1" applyAlignment="1">
      <alignment horizontal="center"/>
    </xf>
    <xf numFmtId="2" fontId="0" fillId="36" borderId="10" xfId="0" applyNumberFormat="1" applyFill="1" applyBorder="1" applyAlignment="1">
      <alignment horizontal="center"/>
    </xf>
    <xf numFmtId="2" fontId="0" fillId="35" borderId="10" xfId="0" applyNumberFormat="1" applyFill="1" applyBorder="1" applyAlignment="1" applyProtection="1">
      <alignment horizontal="center"/>
    </xf>
    <xf numFmtId="2" fontId="0" fillId="0" borderId="10" xfId="0" applyNumberFormat="1" applyFill="1" applyBorder="1" applyAlignment="1" applyProtection="1">
      <alignment horizontal="center"/>
    </xf>
    <xf numFmtId="2" fontId="19" fillId="36" borderId="10" xfId="0" applyNumberFormat="1" applyFont="1" applyFill="1" applyBorder="1" applyAlignment="1">
      <alignment horizontal="center"/>
    </xf>
    <xf numFmtId="2" fontId="0" fillId="0" borderId="14" xfId="0" applyNumberFormat="1" applyFill="1" applyBorder="1" applyAlignment="1">
      <alignment horizontal="center"/>
    </xf>
    <xf numFmtId="2" fontId="0" fillId="33" borderId="14" xfId="0" applyNumberFormat="1" applyFill="1" applyBorder="1" applyAlignment="1">
      <alignment horizontal="center"/>
    </xf>
    <xf numFmtId="2" fontId="0" fillId="36" borderId="10" xfId="0" applyNumberForma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6" xfId="0" applyBorder="1" applyAlignment="1">
      <alignment horizontal="center"/>
    </xf>
    <xf numFmtId="2" fontId="0" fillId="34" borderId="11" xfId="0" applyNumberFormat="1" applyFill="1" applyBorder="1" applyAlignment="1">
      <alignment horizontal="center"/>
    </xf>
    <xf numFmtId="2" fontId="0" fillId="36" borderId="13" xfId="0" applyNumberFormat="1" applyFill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16" fillId="37" borderId="11" xfId="0" applyFont="1" applyFill="1" applyBorder="1" applyAlignment="1">
      <alignment horizontal="center"/>
    </xf>
    <xf numFmtId="0" fontId="16" fillId="37" borderId="12" xfId="0" applyFont="1" applyFill="1" applyBorder="1" applyAlignment="1">
      <alignment horizontal="center"/>
    </xf>
    <xf numFmtId="0" fontId="16" fillId="37" borderId="16" xfId="0" applyFont="1" applyFill="1" applyBorder="1" applyAlignment="1">
      <alignment horizontal="center"/>
    </xf>
    <xf numFmtId="0" fontId="0" fillId="0" borderId="12" xfId="0" applyBorder="1" applyAlignment="1"/>
    <xf numFmtId="0" fontId="0" fillId="0" borderId="16" xfId="0" applyBorder="1" applyAlignme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127"/>
  <sheetViews>
    <sheetView tabSelected="1" showWhiteSpace="0" zoomScale="90" zoomScaleNormal="90" workbookViewId="0">
      <pane xSplit="5" ySplit="5" topLeftCell="AD6" activePane="bottomRight" state="frozen"/>
      <selection pane="topRight" activeCell="F1" sqref="F1"/>
      <selection pane="bottomLeft" activeCell="A6" sqref="A6"/>
      <selection pane="bottomRight" activeCell="B6" sqref="B6"/>
    </sheetView>
  </sheetViews>
  <sheetFormatPr defaultRowHeight="15" x14ac:dyDescent="0.25"/>
  <cols>
    <col min="1" max="1" width="9.140625" style="2"/>
    <col min="2" max="2" width="15.85546875" customWidth="1"/>
    <col min="3" max="3" width="15.7109375" customWidth="1"/>
    <col min="4" max="4" width="12.28515625" customWidth="1"/>
    <col min="5" max="5" width="25" style="1" customWidth="1"/>
    <col min="6" max="11" width="10.7109375" customWidth="1"/>
    <col min="12" max="12" width="10.7109375" style="13" customWidth="1"/>
    <col min="13" max="13" width="10.7109375" style="57" customWidth="1"/>
    <col min="14" max="14" width="10.7109375" style="42" customWidth="1"/>
    <col min="15" max="21" width="10.7109375" style="58" customWidth="1"/>
    <col min="22" max="23" width="10.7109375" style="78" customWidth="1"/>
    <col min="24" max="26" width="10.7109375" customWidth="1"/>
    <col min="27" max="29" width="10.7109375" style="58" customWidth="1"/>
    <col min="30" max="30" width="10.7109375" style="12" customWidth="1"/>
    <col min="31" max="33" width="10.7109375" style="58" customWidth="1"/>
    <col min="34" max="34" width="10.7109375" style="44" customWidth="1"/>
    <col min="35" max="35" width="10.7109375" customWidth="1"/>
    <col min="36" max="36" width="10.7109375" style="42" customWidth="1"/>
    <col min="37" max="37" width="10.7109375" style="58" customWidth="1"/>
    <col min="38" max="38" width="10.7109375" style="44" customWidth="1"/>
    <col min="39" max="41" width="10.7109375" style="58" customWidth="1"/>
    <col min="42" max="43" width="9.140625" style="8" customWidth="1"/>
  </cols>
  <sheetData>
    <row r="1" spans="1:43" s="20" customFormat="1" ht="18.75" x14ac:dyDescent="0.3">
      <c r="A1" s="121" t="s">
        <v>91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K1" s="58"/>
      <c r="AL1" s="44"/>
      <c r="AM1" s="58"/>
      <c r="AN1" s="58"/>
      <c r="AO1" s="58"/>
      <c r="AQ1" s="58"/>
    </row>
    <row r="2" spans="1:43" s="20" customFormat="1" ht="18.75" x14ac:dyDescent="0.3">
      <c r="A2" s="121" t="s">
        <v>81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K2" s="58"/>
      <c r="AL2" s="44"/>
      <c r="AM2" s="58"/>
      <c r="AN2" s="58"/>
      <c r="AO2" s="58"/>
      <c r="AQ2" s="58"/>
    </row>
    <row r="3" spans="1:43" s="20" customFormat="1" x14ac:dyDescent="0.25">
      <c r="A3" s="22"/>
      <c r="B3" s="122" t="s">
        <v>127</v>
      </c>
      <c r="C3" s="123"/>
      <c r="D3" s="124"/>
      <c r="E3" s="25"/>
      <c r="F3" s="125"/>
      <c r="G3" s="125"/>
      <c r="H3" s="125"/>
      <c r="I3" s="125"/>
      <c r="J3" s="125"/>
      <c r="K3" s="125"/>
      <c r="L3" s="125"/>
      <c r="M3" s="53"/>
      <c r="N3" s="39"/>
      <c r="O3" s="68"/>
      <c r="P3" s="73"/>
      <c r="Q3" s="75"/>
      <c r="R3" s="88"/>
      <c r="S3" s="91"/>
      <c r="T3" s="94"/>
      <c r="U3" s="98"/>
      <c r="V3" s="103"/>
      <c r="W3" s="103"/>
      <c r="X3" s="127" t="s">
        <v>86</v>
      </c>
      <c r="Y3" s="128"/>
      <c r="Z3" s="128"/>
      <c r="AA3" s="128"/>
      <c r="AB3" s="128"/>
      <c r="AC3" s="128"/>
      <c r="AD3" s="128"/>
      <c r="AE3" s="128"/>
      <c r="AF3" s="128"/>
      <c r="AG3" s="105"/>
      <c r="AH3" s="127" t="s">
        <v>92</v>
      </c>
      <c r="AI3" s="128"/>
      <c r="AJ3" s="128"/>
      <c r="AK3" s="128"/>
      <c r="AL3" s="128"/>
      <c r="AM3" s="128"/>
      <c r="AN3" s="128"/>
      <c r="AO3" s="128"/>
      <c r="AP3" s="131"/>
      <c r="AQ3" s="90" t="s">
        <v>94</v>
      </c>
    </row>
    <row r="4" spans="1:43" s="20" customFormat="1" x14ac:dyDescent="0.25">
      <c r="A4" s="37"/>
      <c r="B4" s="126" t="s">
        <v>84</v>
      </c>
      <c r="C4" s="126"/>
      <c r="D4" s="99" t="s">
        <v>83</v>
      </c>
      <c r="E4" s="76"/>
      <c r="F4" s="127" t="s">
        <v>85</v>
      </c>
      <c r="G4" s="128"/>
      <c r="H4" s="128"/>
      <c r="I4" s="128"/>
      <c r="J4" s="128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30"/>
      <c r="X4" s="47">
        <v>40878</v>
      </c>
      <c r="Y4" s="33">
        <v>41244</v>
      </c>
      <c r="Z4" s="34">
        <v>41609</v>
      </c>
      <c r="AA4" s="65">
        <v>41974</v>
      </c>
      <c r="AB4" s="65">
        <v>42339</v>
      </c>
      <c r="AC4" s="65">
        <v>42705</v>
      </c>
      <c r="AD4" s="65">
        <v>43070</v>
      </c>
      <c r="AE4" s="65">
        <v>43435</v>
      </c>
      <c r="AF4" s="110">
        <v>43800</v>
      </c>
      <c r="AG4" s="110">
        <v>40878</v>
      </c>
      <c r="AH4" s="34">
        <v>41091</v>
      </c>
      <c r="AI4" s="34">
        <v>41456</v>
      </c>
      <c r="AJ4" s="34">
        <v>41821</v>
      </c>
      <c r="AK4" s="65">
        <v>42186</v>
      </c>
      <c r="AL4" s="34">
        <v>42552</v>
      </c>
      <c r="AM4" s="86">
        <v>42917</v>
      </c>
      <c r="AN4" s="86">
        <v>43282</v>
      </c>
      <c r="AO4" s="86">
        <v>41091</v>
      </c>
      <c r="AP4" s="5">
        <v>43647</v>
      </c>
      <c r="AQ4" s="111">
        <v>43647</v>
      </c>
    </row>
    <row r="5" spans="1:43" s="20" customFormat="1" x14ac:dyDescent="0.25">
      <c r="A5" s="3" t="s">
        <v>54</v>
      </c>
      <c r="B5" s="3" t="s">
        <v>55</v>
      </c>
      <c r="C5" s="3" t="s">
        <v>56</v>
      </c>
      <c r="D5" s="3" t="s">
        <v>57</v>
      </c>
      <c r="E5" s="3" t="s">
        <v>58</v>
      </c>
      <c r="F5" s="59">
        <v>40878</v>
      </c>
      <c r="G5" s="93">
        <v>41091</v>
      </c>
      <c r="H5" s="59">
        <v>41244</v>
      </c>
      <c r="I5" s="93">
        <v>41456</v>
      </c>
      <c r="J5" s="59">
        <v>41609</v>
      </c>
      <c r="K5" s="93">
        <v>41821</v>
      </c>
      <c r="L5" s="59">
        <v>41974</v>
      </c>
      <c r="M5" s="93">
        <v>42186</v>
      </c>
      <c r="N5" s="59">
        <v>42339</v>
      </c>
      <c r="O5" s="93">
        <v>42567</v>
      </c>
      <c r="P5" s="59">
        <v>42716</v>
      </c>
      <c r="Q5" s="93">
        <v>42917</v>
      </c>
      <c r="R5" s="59">
        <v>43070</v>
      </c>
      <c r="S5" s="93">
        <v>43282</v>
      </c>
      <c r="T5" s="59">
        <v>43435</v>
      </c>
      <c r="U5" s="93">
        <v>43647</v>
      </c>
      <c r="V5" s="104">
        <v>43800</v>
      </c>
      <c r="W5" s="104">
        <v>44166</v>
      </c>
      <c r="X5" s="26">
        <v>41244</v>
      </c>
      <c r="Y5" s="26">
        <v>41609</v>
      </c>
      <c r="Z5" s="26">
        <v>41974</v>
      </c>
      <c r="AA5" s="59">
        <v>42339</v>
      </c>
      <c r="AB5" s="59">
        <v>42705</v>
      </c>
      <c r="AC5" s="59">
        <v>43070</v>
      </c>
      <c r="AD5" s="59">
        <v>43435</v>
      </c>
      <c r="AE5" s="59">
        <v>43800</v>
      </c>
      <c r="AF5" s="59">
        <v>44166</v>
      </c>
      <c r="AG5" s="59">
        <v>44166</v>
      </c>
      <c r="AH5" s="26">
        <v>41456</v>
      </c>
      <c r="AI5" s="26">
        <v>41821</v>
      </c>
      <c r="AJ5" s="26">
        <v>42186</v>
      </c>
      <c r="AK5" s="59">
        <v>42552</v>
      </c>
      <c r="AL5" s="26">
        <v>42917</v>
      </c>
      <c r="AM5" s="87">
        <v>43282</v>
      </c>
      <c r="AN5" s="87">
        <v>43647</v>
      </c>
      <c r="AO5" s="87">
        <v>43647</v>
      </c>
      <c r="AP5" s="59">
        <v>43800</v>
      </c>
      <c r="AQ5" s="59">
        <v>44166</v>
      </c>
    </row>
    <row r="6" spans="1:43" x14ac:dyDescent="0.25">
      <c r="A6" s="3">
        <v>29</v>
      </c>
      <c r="B6" s="60">
        <v>2255715.12</v>
      </c>
      <c r="C6" s="60">
        <v>6232765.2419999996</v>
      </c>
      <c r="D6" s="60">
        <v>276.95100000000002</v>
      </c>
      <c r="E6" s="58" t="s">
        <v>0</v>
      </c>
      <c r="F6" s="27"/>
      <c r="G6" s="27">
        <v>279.24700000000001</v>
      </c>
      <c r="H6" s="27">
        <v>279.202</v>
      </c>
      <c r="I6" s="27">
        <v>279.08300000000003</v>
      </c>
      <c r="J6" s="27">
        <v>278.93</v>
      </c>
      <c r="K6" s="27">
        <v>278.678</v>
      </c>
      <c r="L6" s="27">
        <v>278.56099999999998</v>
      </c>
      <c r="M6" s="60">
        <v>278.28399999999999</v>
      </c>
      <c r="N6" s="27">
        <v>278.149</v>
      </c>
      <c r="O6" s="60">
        <v>278.03300000000002</v>
      </c>
      <c r="P6" s="60">
        <v>277.88</v>
      </c>
      <c r="Q6" s="60">
        <v>277.726</v>
      </c>
      <c r="R6" s="60">
        <v>277.64</v>
      </c>
      <c r="S6" s="60">
        <v>277.61799999999999</v>
      </c>
      <c r="T6" s="60">
        <v>277.36599999999999</v>
      </c>
      <c r="U6" s="60">
        <v>277.291</v>
      </c>
      <c r="V6" s="71">
        <v>277.19099999999997</v>
      </c>
      <c r="W6" s="71">
        <f t="shared" ref="W6:W69" si="0">D6</f>
        <v>276.95100000000002</v>
      </c>
      <c r="X6" s="32"/>
      <c r="Y6" s="27">
        <f>J6-H6</f>
        <v>-0.27199999999999136</v>
      </c>
      <c r="Z6" s="29">
        <f>L6-J6</f>
        <v>-0.36900000000002819</v>
      </c>
      <c r="AA6" s="62">
        <f>N6-L6</f>
        <v>-0.41199999999997772</v>
      </c>
      <c r="AB6" s="62">
        <f>P6-N6</f>
        <v>-0.26900000000000546</v>
      </c>
      <c r="AC6" s="62">
        <f>R6-P6</f>
        <v>-0.24000000000000909</v>
      </c>
      <c r="AD6" s="62">
        <f t="shared" ref="AD6:AD24" si="1">T6-R6</f>
        <v>-0.27400000000000091</v>
      </c>
      <c r="AE6" s="62">
        <f>V6-T6</f>
        <v>-0.17500000000001137</v>
      </c>
      <c r="AF6" s="81">
        <f>W6-V6</f>
        <v>-0.23999999999995225</v>
      </c>
      <c r="AG6" s="81">
        <f>(W6-H6)/8</f>
        <v>-0.28137499999999704</v>
      </c>
      <c r="AH6" s="45">
        <f>I6-G6</f>
        <v>-0.16399999999998727</v>
      </c>
      <c r="AI6" s="29">
        <f>K6-I6</f>
        <v>-0.40500000000002956</v>
      </c>
      <c r="AJ6" s="29">
        <f>M6-K6</f>
        <v>-0.39400000000000546</v>
      </c>
      <c r="AK6" s="62">
        <f>O6-M6</f>
        <v>-0.25099999999997635</v>
      </c>
      <c r="AL6" s="62">
        <f>Q6-O6</f>
        <v>-0.30700000000001637</v>
      </c>
      <c r="AM6" s="62">
        <f>S6-Q6</f>
        <v>-0.10800000000000409</v>
      </c>
      <c r="AN6" s="62">
        <f t="shared" ref="AN6:AN24" si="2">U6-S6</f>
        <v>-0.32699999999999818</v>
      </c>
      <c r="AO6" s="62">
        <f>(U6-$G6)/7</f>
        <v>-0.27942857142857391</v>
      </c>
      <c r="AP6" s="62">
        <f>V6-U6</f>
        <v>-0.10000000000002274</v>
      </c>
      <c r="AQ6" s="62">
        <f>W6-U6</f>
        <v>-0.33999999999997499</v>
      </c>
    </row>
    <row r="7" spans="1:43" x14ac:dyDescent="0.25">
      <c r="A7" s="3">
        <v>62</v>
      </c>
      <c r="B7" s="60">
        <v>2138252.5189999999</v>
      </c>
      <c r="C7" s="60">
        <v>6339533.0089999996</v>
      </c>
      <c r="D7" s="60">
        <v>288.74299999999999</v>
      </c>
      <c r="E7" s="58" t="s">
        <v>1</v>
      </c>
      <c r="F7" s="27"/>
      <c r="G7" s="27">
        <v>288.84800000000001</v>
      </c>
      <c r="H7" s="27">
        <v>288.87</v>
      </c>
      <c r="I7" s="27">
        <v>288.767</v>
      </c>
      <c r="J7" s="27">
        <v>288.81</v>
      </c>
      <c r="K7" s="27">
        <v>288.822</v>
      </c>
      <c r="L7" s="27">
        <v>288.79399999999998</v>
      </c>
      <c r="M7" s="60">
        <v>288.755</v>
      </c>
      <c r="N7" s="27">
        <v>288.81700000000001</v>
      </c>
      <c r="O7" s="60">
        <v>288.68200000000002</v>
      </c>
      <c r="P7" s="60">
        <v>288.721</v>
      </c>
      <c r="Q7" s="60">
        <v>288.69499999999999</v>
      </c>
      <c r="R7" s="60">
        <v>288.74</v>
      </c>
      <c r="S7" s="60">
        <v>288.81099999999998</v>
      </c>
      <c r="T7" s="60">
        <v>288.76100000000002</v>
      </c>
      <c r="U7" s="60">
        <v>288.78199999999998</v>
      </c>
      <c r="V7" s="71">
        <v>288.73099999999999</v>
      </c>
      <c r="W7" s="71">
        <f t="shared" si="0"/>
        <v>288.74299999999999</v>
      </c>
      <c r="X7" s="32"/>
      <c r="Y7" s="27">
        <f>J7-H7</f>
        <v>-6.0000000000002274E-2</v>
      </c>
      <c r="Z7" s="29">
        <f>L7-J7</f>
        <v>-1.6000000000019554E-2</v>
      </c>
      <c r="AA7" s="62">
        <f>N7-L7</f>
        <v>2.3000000000024556E-2</v>
      </c>
      <c r="AB7" s="62">
        <f>P7-N7</f>
        <v>-9.6000000000003638E-2</v>
      </c>
      <c r="AC7" s="62">
        <f>R7-P7</f>
        <v>1.9000000000005457E-2</v>
      </c>
      <c r="AD7" s="62">
        <f t="shared" si="1"/>
        <v>2.1000000000015007E-2</v>
      </c>
      <c r="AE7" s="62">
        <f>V7-T7</f>
        <v>-3.0000000000029559E-2</v>
      </c>
      <c r="AF7" s="81">
        <f t="shared" ref="AF7:AF70" si="3">W7-V7</f>
        <v>1.2000000000000455E-2</v>
      </c>
      <c r="AG7" s="81">
        <f>(W7-H7)/8</f>
        <v>-1.5875000000001194E-2</v>
      </c>
      <c r="AH7" s="45">
        <f>I7-G7</f>
        <v>-8.100000000001728E-2</v>
      </c>
      <c r="AI7" s="29">
        <f>K7-I7</f>
        <v>5.5000000000006821E-2</v>
      </c>
      <c r="AJ7" s="62">
        <f>M7-K7</f>
        <v>-6.7000000000007276E-2</v>
      </c>
      <c r="AK7" s="62">
        <f>O7-M7</f>
        <v>-7.2999999999979082E-2</v>
      </c>
      <c r="AL7" s="62">
        <f>Q7-O7</f>
        <v>1.2999999999976808E-2</v>
      </c>
      <c r="AM7" s="62">
        <f>S7-Q7</f>
        <v>0.11599999999998545</v>
      </c>
      <c r="AN7" s="62">
        <f t="shared" si="2"/>
        <v>-2.8999999999996362E-2</v>
      </c>
      <c r="AO7" s="62">
        <f>(U7-$G7)/7</f>
        <v>-9.4285714285758469E-3</v>
      </c>
      <c r="AP7" s="62">
        <f>V7-U7</f>
        <v>-5.0999999999987722E-2</v>
      </c>
      <c r="AQ7" s="62">
        <f t="shared" ref="AQ7:AQ70" si="4">W7-U7</f>
        <v>-3.8999999999987267E-2</v>
      </c>
    </row>
    <row r="8" spans="1:43" x14ac:dyDescent="0.25">
      <c r="A8" s="3">
        <v>63</v>
      </c>
      <c r="B8" s="60">
        <v>2068328.5049999999</v>
      </c>
      <c r="C8" s="60">
        <v>6163767.9460000005</v>
      </c>
      <c r="D8" s="60">
        <v>328.48500000000001</v>
      </c>
      <c r="E8" s="58" t="s">
        <v>48</v>
      </c>
      <c r="F8" s="27"/>
      <c r="G8" s="27">
        <v>329.95100000000002</v>
      </c>
      <c r="H8" s="27">
        <v>329.988</v>
      </c>
      <c r="I8" s="27">
        <v>329.66800000000001</v>
      </c>
      <c r="J8" s="27">
        <v>329.51</v>
      </c>
      <c r="K8" s="27">
        <v>329.01900000000001</v>
      </c>
      <c r="L8" s="27">
        <v>329.05599999999998</v>
      </c>
      <c r="M8" s="60">
        <v>328.76400000000001</v>
      </c>
      <c r="N8" s="27">
        <v>328.80399999999997</v>
      </c>
      <c r="O8" s="60">
        <v>328.45699999999999</v>
      </c>
      <c r="P8" s="60">
        <v>328.625</v>
      </c>
      <c r="Q8" s="60">
        <v>328.70800000000003</v>
      </c>
      <c r="R8" s="60">
        <v>328.99</v>
      </c>
      <c r="S8" s="60">
        <v>328.89699999999999</v>
      </c>
      <c r="T8" s="60">
        <v>328.846</v>
      </c>
      <c r="U8" s="60">
        <v>328.846</v>
      </c>
      <c r="V8" s="71">
        <v>328.83</v>
      </c>
      <c r="W8" s="71">
        <f t="shared" si="0"/>
        <v>328.48500000000001</v>
      </c>
      <c r="X8" s="32"/>
      <c r="Y8" s="27">
        <f>J8-H8</f>
        <v>-0.47800000000000864</v>
      </c>
      <c r="Z8" s="29">
        <f>L8-J8</f>
        <v>-0.45400000000000773</v>
      </c>
      <c r="AA8" s="62">
        <f>N8-L8</f>
        <v>-0.25200000000000955</v>
      </c>
      <c r="AB8" s="62">
        <f>P8-N8</f>
        <v>-0.17899999999997362</v>
      </c>
      <c r="AC8" s="62">
        <f>R8-P8</f>
        <v>0.36500000000000909</v>
      </c>
      <c r="AD8" s="62">
        <f t="shared" si="1"/>
        <v>-0.14400000000000546</v>
      </c>
      <c r="AE8" s="62">
        <f>V8-T8</f>
        <v>-1.6000000000019554E-2</v>
      </c>
      <c r="AF8" s="81">
        <f t="shared" si="3"/>
        <v>-0.34499999999997044</v>
      </c>
      <c r="AG8" s="81">
        <f>(W8-H8)/8</f>
        <v>-0.18787499999999824</v>
      </c>
      <c r="AH8" s="45">
        <f>I8-G8</f>
        <v>-0.28300000000001546</v>
      </c>
      <c r="AI8" s="29">
        <f>K8-I8</f>
        <v>-0.64900000000000091</v>
      </c>
      <c r="AJ8" s="62">
        <f>M8-K8</f>
        <v>-0.25499999999999545</v>
      </c>
      <c r="AK8" s="62">
        <f>O8-M8</f>
        <v>-0.30700000000001637</v>
      </c>
      <c r="AL8" s="62">
        <f>Q8-O8</f>
        <v>0.2510000000000332</v>
      </c>
      <c r="AM8" s="62">
        <f>S8-Q8</f>
        <v>0.18899999999996453</v>
      </c>
      <c r="AN8" s="62">
        <f t="shared" si="2"/>
        <v>-5.0999999999987722E-2</v>
      </c>
      <c r="AO8" s="62">
        <f>(U8-$G8)/7</f>
        <v>-0.15785714285714544</v>
      </c>
      <c r="AP8" s="62">
        <f>V8-U8</f>
        <v>-1.6000000000019554E-2</v>
      </c>
      <c r="AQ8" s="62">
        <f t="shared" si="4"/>
        <v>-0.36099999999999</v>
      </c>
    </row>
    <row r="9" spans="1:43" s="78" customFormat="1" x14ac:dyDescent="0.25">
      <c r="A9" s="41">
        <v>101</v>
      </c>
      <c r="B9" s="63">
        <v>2213141.1310000001</v>
      </c>
      <c r="C9" s="63">
        <v>6133281.4239999996</v>
      </c>
      <c r="D9" s="118">
        <v>140.01900000000001</v>
      </c>
      <c r="E9" s="58" t="s">
        <v>60</v>
      </c>
      <c r="F9" s="101">
        <v>141.79900000000001</v>
      </c>
      <c r="G9" s="71">
        <v>141.661</v>
      </c>
      <c r="H9" s="71">
        <v>141.72399999999999</v>
      </c>
      <c r="I9" s="71">
        <v>141.54499999999999</v>
      </c>
      <c r="J9" s="71">
        <v>141.47999999999999</v>
      </c>
      <c r="K9" s="71">
        <v>141.33199999999999</v>
      </c>
      <c r="L9" s="71">
        <v>141.30500000000001</v>
      </c>
      <c r="M9" s="71">
        <v>141.07</v>
      </c>
      <c r="N9" s="71">
        <v>140.96</v>
      </c>
      <c r="O9" s="71">
        <v>140.85599999999999</v>
      </c>
      <c r="P9" s="71"/>
      <c r="Q9" s="60">
        <v>140.51499999999999</v>
      </c>
      <c r="R9" s="60">
        <v>140.54</v>
      </c>
      <c r="S9" s="60">
        <v>140.49100000000001</v>
      </c>
      <c r="T9" s="60">
        <v>140.36500000000001</v>
      </c>
      <c r="U9" s="60">
        <v>140.26599999999999</v>
      </c>
      <c r="V9" s="71"/>
      <c r="W9" s="71">
        <f t="shared" si="0"/>
        <v>140.01900000000001</v>
      </c>
      <c r="X9" s="101">
        <f>H9-F9</f>
        <v>-7.5000000000017053E-2</v>
      </c>
      <c r="Y9" s="71">
        <f>J9-H9</f>
        <v>-0.24399999999999977</v>
      </c>
      <c r="Z9" s="79">
        <f>L9-J9</f>
        <v>-0.17499999999998295</v>
      </c>
      <c r="AA9" s="79">
        <f>N9-L9</f>
        <v>-0.34499999999999886</v>
      </c>
      <c r="AB9" s="79"/>
      <c r="AC9" s="62" t="s">
        <v>100</v>
      </c>
      <c r="AD9" s="62">
        <f t="shared" si="1"/>
        <v>-0.17499999999998295</v>
      </c>
      <c r="AE9" s="62"/>
      <c r="AF9" s="71"/>
      <c r="AG9" s="79">
        <f>(W9-F9)/9</f>
        <v>-0.19777777777777791</v>
      </c>
      <c r="AH9" s="80">
        <f>I9-G9</f>
        <v>-0.11600000000001387</v>
      </c>
      <c r="AI9" s="79">
        <f>K9-I9</f>
        <v>-0.21299999999999386</v>
      </c>
      <c r="AJ9" s="79">
        <f>M9-K9</f>
        <v>-0.26200000000000045</v>
      </c>
      <c r="AK9" s="79">
        <f>O9-M9</f>
        <v>-0.21399999999999864</v>
      </c>
      <c r="AL9" s="62">
        <f>Q9-O9</f>
        <v>-0.34100000000000819</v>
      </c>
      <c r="AM9" s="62">
        <f>S9-Q9</f>
        <v>-2.3999999999972488E-2</v>
      </c>
      <c r="AN9" s="62">
        <f t="shared" si="2"/>
        <v>-0.22500000000002274</v>
      </c>
      <c r="AO9" s="62">
        <f>(U9-$G9)/7</f>
        <v>-0.19928571428571576</v>
      </c>
      <c r="AP9" s="62"/>
      <c r="AQ9" s="62">
        <f t="shared" si="4"/>
        <v>-0.24699999999998568</v>
      </c>
    </row>
    <row r="10" spans="1:43" s="78" customFormat="1" x14ac:dyDescent="0.25">
      <c r="A10" s="41">
        <v>104</v>
      </c>
      <c r="B10" s="63">
        <v>2167435.9210000001</v>
      </c>
      <c r="C10" s="63">
        <v>6185519.8969999999</v>
      </c>
      <c r="D10" s="118">
        <v>179.328</v>
      </c>
      <c r="E10" s="58" t="s">
        <v>115</v>
      </c>
      <c r="F10" s="71">
        <v>180.58600000000001</v>
      </c>
      <c r="G10" s="70"/>
      <c r="H10" s="70"/>
      <c r="I10" s="70"/>
      <c r="J10" s="70"/>
      <c r="K10" s="70"/>
      <c r="L10" s="70"/>
      <c r="M10" s="70"/>
      <c r="N10" s="70"/>
      <c r="O10" s="70"/>
      <c r="P10" s="71"/>
      <c r="Q10" s="60">
        <v>179.50399999999999</v>
      </c>
      <c r="R10" s="60">
        <v>179.59</v>
      </c>
      <c r="S10" s="60">
        <v>179.50399999999999</v>
      </c>
      <c r="T10" s="60">
        <v>179.471</v>
      </c>
      <c r="U10" s="60">
        <v>179.31800000000001</v>
      </c>
      <c r="V10" s="71">
        <v>179.32400000000001</v>
      </c>
      <c r="W10" s="71">
        <f>D10</f>
        <v>179.328</v>
      </c>
      <c r="X10" s="102"/>
      <c r="Y10" s="70"/>
      <c r="Z10" s="70"/>
      <c r="AA10" s="70"/>
      <c r="AB10" s="70"/>
      <c r="AC10" s="62" t="s">
        <v>100</v>
      </c>
      <c r="AD10" s="62">
        <f t="shared" si="1"/>
        <v>-0.11899999999999977</v>
      </c>
      <c r="AE10" s="62">
        <f t="shared" ref="AE10:AE17" si="5">V10-T10</f>
        <v>-0.14699999999999136</v>
      </c>
      <c r="AF10" s="81">
        <f t="shared" si="3"/>
        <v>3.9999999999906777E-3</v>
      </c>
      <c r="AG10" s="79">
        <f>(W10-F10)/9</f>
        <v>-0.13977777777777886</v>
      </c>
      <c r="AH10" s="70"/>
      <c r="AI10" s="70"/>
      <c r="AJ10" s="70"/>
      <c r="AK10" s="70"/>
      <c r="AL10" s="62"/>
      <c r="AM10" s="62"/>
      <c r="AN10" s="62">
        <f t="shared" si="2"/>
        <v>-0.18599999999997863</v>
      </c>
      <c r="AO10" s="70"/>
      <c r="AP10" s="62">
        <f t="shared" ref="AP10:AP17" si="6">V10-U10</f>
        <v>6.0000000000002274E-3</v>
      </c>
      <c r="AQ10" s="62">
        <f t="shared" si="4"/>
        <v>9.9999999999909051E-3</v>
      </c>
    </row>
    <row r="11" spans="1:43" x14ac:dyDescent="0.25">
      <c r="A11" s="41">
        <v>108</v>
      </c>
      <c r="B11" s="63">
        <v>2342536.6830000002</v>
      </c>
      <c r="C11" s="63">
        <v>6022775.7369999997</v>
      </c>
      <c r="D11" s="118">
        <v>78.397999999999996</v>
      </c>
      <c r="E11" s="58" t="s">
        <v>2</v>
      </c>
      <c r="F11" s="27">
        <v>79.138000000000005</v>
      </c>
      <c r="G11" s="27"/>
      <c r="H11" s="27"/>
      <c r="I11" s="27"/>
      <c r="J11" s="27">
        <v>78.92</v>
      </c>
      <c r="K11" s="27">
        <v>79.072000000000003</v>
      </c>
      <c r="L11" s="27">
        <v>78.891999999999996</v>
      </c>
      <c r="M11" s="60">
        <v>78.781000000000006</v>
      </c>
      <c r="N11" s="27">
        <v>78.695999999999998</v>
      </c>
      <c r="O11" s="60">
        <v>78.706999999999994</v>
      </c>
      <c r="P11" s="60">
        <v>78.641999999999996</v>
      </c>
      <c r="Q11" s="60">
        <v>78.686000000000007</v>
      </c>
      <c r="R11" s="60">
        <v>78.63</v>
      </c>
      <c r="S11" s="60">
        <v>78.421999999999997</v>
      </c>
      <c r="T11" s="60">
        <v>78.581000000000003</v>
      </c>
      <c r="U11" s="60">
        <v>78.659000000000006</v>
      </c>
      <c r="V11" s="71">
        <v>78.626999999999995</v>
      </c>
      <c r="W11" s="71">
        <f t="shared" si="0"/>
        <v>78.397999999999996</v>
      </c>
      <c r="X11" s="89"/>
      <c r="Y11" s="27"/>
      <c r="Z11" s="29">
        <f t="shared" ref="Z11:Z25" si="7">L11-J11</f>
        <v>-2.8000000000005798E-2</v>
      </c>
      <c r="AA11" s="62">
        <f t="shared" ref="AA11:AA25" si="8">N11-L11</f>
        <v>-0.19599999999999795</v>
      </c>
      <c r="AB11" s="62">
        <f t="shared" ref="AB11:AB25" si="9">P11-N11</f>
        <v>-5.4000000000002046E-2</v>
      </c>
      <c r="AC11" s="62">
        <f t="shared" ref="AC11:AC25" si="10">R11-P11</f>
        <v>-1.2000000000000455E-2</v>
      </c>
      <c r="AD11" s="62">
        <f t="shared" si="1"/>
        <v>-4.8999999999992383E-2</v>
      </c>
      <c r="AE11" s="62">
        <f t="shared" si="5"/>
        <v>4.5999999999992269E-2</v>
      </c>
      <c r="AF11" s="81">
        <f t="shared" si="3"/>
        <v>-0.2289999999999992</v>
      </c>
      <c r="AG11" s="79">
        <f>(W11-F11)/9</f>
        <v>-8.2222222222223237E-2</v>
      </c>
      <c r="AH11" s="45"/>
      <c r="AI11" s="28"/>
      <c r="AJ11" s="62">
        <f t="shared" ref="AJ11:AJ25" si="11">M11-K11</f>
        <v>-0.29099999999999682</v>
      </c>
      <c r="AK11" s="62">
        <f t="shared" ref="AK11:AK25" si="12">O11-M11</f>
        <v>-7.4000000000012278E-2</v>
      </c>
      <c r="AL11" s="62">
        <f>Q11-O11</f>
        <v>-2.0999999999986585E-2</v>
      </c>
      <c r="AM11" s="62">
        <f t="shared" ref="AM11:AM24" si="13">S11-Q11</f>
        <v>-0.26400000000001</v>
      </c>
      <c r="AN11" s="62">
        <f t="shared" si="2"/>
        <v>0.23700000000000898</v>
      </c>
      <c r="AO11" s="61">
        <f>(U11-K11)/5</f>
        <v>-8.2599999999999341E-2</v>
      </c>
      <c r="AP11" s="62">
        <f t="shared" si="6"/>
        <v>-3.2000000000010687E-2</v>
      </c>
      <c r="AQ11" s="62">
        <f t="shared" si="4"/>
        <v>-0.26100000000000989</v>
      </c>
    </row>
    <row r="12" spans="1:43" x14ac:dyDescent="0.25">
      <c r="A12" s="3">
        <v>119</v>
      </c>
      <c r="B12" s="60">
        <v>2420921.5180000002</v>
      </c>
      <c r="C12" s="60">
        <v>6035543.1639999999</v>
      </c>
      <c r="D12" s="60">
        <v>110.917</v>
      </c>
      <c r="E12" s="1">
        <v>109.28</v>
      </c>
      <c r="F12" s="27">
        <v>111.276</v>
      </c>
      <c r="G12" s="27">
        <v>111.11</v>
      </c>
      <c r="H12" s="27">
        <v>111.142</v>
      </c>
      <c r="I12" s="27">
        <v>111.045</v>
      </c>
      <c r="J12" s="27">
        <v>110.98</v>
      </c>
      <c r="K12" s="27">
        <v>111.133</v>
      </c>
      <c r="L12" s="27">
        <v>111.125</v>
      </c>
      <c r="M12" s="60">
        <v>111.03100000000001</v>
      </c>
      <c r="N12" s="27">
        <v>110.982</v>
      </c>
      <c r="O12" s="60">
        <v>111.116</v>
      </c>
      <c r="P12" s="60">
        <v>111.054</v>
      </c>
      <c r="Q12" s="60">
        <v>111.146</v>
      </c>
      <c r="R12" s="60">
        <v>111.03</v>
      </c>
      <c r="S12" s="60">
        <v>110.84099999999999</v>
      </c>
      <c r="T12" s="60">
        <v>110.967</v>
      </c>
      <c r="U12" s="60">
        <v>110.958</v>
      </c>
      <c r="V12" s="71">
        <v>111.208</v>
      </c>
      <c r="W12" s="71">
        <f t="shared" si="0"/>
        <v>110.917</v>
      </c>
      <c r="X12" s="89">
        <f>H12-F12</f>
        <v>-0.13400000000000034</v>
      </c>
      <c r="Y12" s="27">
        <f>J12-H12</f>
        <v>-0.16199999999999193</v>
      </c>
      <c r="Z12" s="29">
        <f t="shared" si="7"/>
        <v>0.14499999999999602</v>
      </c>
      <c r="AA12" s="62">
        <f t="shared" si="8"/>
        <v>-0.14300000000000068</v>
      </c>
      <c r="AB12" s="62">
        <f t="shared" si="9"/>
        <v>7.2000000000002728E-2</v>
      </c>
      <c r="AC12" s="62">
        <f t="shared" si="10"/>
        <v>-2.4000000000000909E-2</v>
      </c>
      <c r="AD12" s="62">
        <f t="shared" si="1"/>
        <v>-6.3000000000002387E-2</v>
      </c>
      <c r="AE12" s="62">
        <f t="shared" si="5"/>
        <v>0.24099999999999966</v>
      </c>
      <c r="AF12" s="71">
        <f t="shared" si="3"/>
        <v>-0.29099999999999682</v>
      </c>
      <c r="AG12" s="79">
        <f t="shared" ref="AG12:AG24" si="14">(W12-F12)/9</f>
        <v>-3.9888888888888294E-2</v>
      </c>
      <c r="AH12" s="45">
        <f>I12-G12</f>
        <v>-6.4999999999997726E-2</v>
      </c>
      <c r="AI12" s="29">
        <f>K12-I12</f>
        <v>8.7999999999993861E-2</v>
      </c>
      <c r="AJ12" s="62">
        <f t="shared" si="11"/>
        <v>-0.10199999999998965</v>
      </c>
      <c r="AK12" s="62">
        <f t="shared" si="12"/>
        <v>8.4999999999993747E-2</v>
      </c>
      <c r="AL12" s="62">
        <f>Q12-O12</f>
        <v>3.0000000000001137E-2</v>
      </c>
      <c r="AM12" s="62">
        <f t="shared" si="13"/>
        <v>-0.30500000000000682</v>
      </c>
      <c r="AN12" s="62">
        <f t="shared" si="2"/>
        <v>0.11700000000000443</v>
      </c>
      <c r="AO12" s="62">
        <f>(U12-$G12)/7</f>
        <v>-2.1714285714285859E-2</v>
      </c>
      <c r="AP12" s="30">
        <f t="shared" si="6"/>
        <v>0.25</v>
      </c>
      <c r="AQ12" s="30">
        <f t="shared" si="4"/>
        <v>-4.0999999999996817E-2</v>
      </c>
    </row>
    <row r="13" spans="1:43" x14ac:dyDescent="0.25">
      <c r="A13" s="3">
        <v>120</v>
      </c>
      <c r="B13" s="60">
        <v>2246626.0109999999</v>
      </c>
      <c r="C13" s="60">
        <v>6356803.6119999997</v>
      </c>
      <c r="D13" s="60">
        <v>606.63300000000004</v>
      </c>
      <c r="E13" s="1">
        <v>604.16399999999999</v>
      </c>
      <c r="F13" s="27">
        <v>606.67899999999997</v>
      </c>
      <c r="G13" s="27"/>
      <c r="H13" s="27"/>
      <c r="I13" s="27"/>
      <c r="J13" s="27">
        <v>606.61</v>
      </c>
      <c r="K13" s="27">
        <v>606.673</v>
      </c>
      <c r="L13" s="27">
        <v>606.58100000000002</v>
      </c>
      <c r="M13" s="60">
        <v>606.64599999999996</v>
      </c>
      <c r="N13" s="27">
        <v>606.65300000000002</v>
      </c>
      <c r="O13" s="60">
        <v>606.67700000000002</v>
      </c>
      <c r="P13" s="60">
        <v>606.65499999999997</v>
      </c>
      <c r="Q13" s="60">
        <v>606.69299999999998</v>
      </c>
      <c r="R13" s="60">
        <v>606.63</v>
      </c>
      <c r="S13" s="60">
        <v>606.678</v>
      </c>
      <c r="T13" s="60">
        <v>606.62099999999998</v>
      </c>
      <c r="U13" s="60">
        <v>606.66099999999994</v>
      </c>
      <c r="V13" s="71">
        <v>606.64599999999996</v>
      </c>
      <c r="W13" s="71">
        <f t="shared" si="0"/>
        <v>606.63300000000004</v>
      </c>
      <c r="X13" s="89"/>
      <c r="Y13" s="27"/>
      <c r="Z13" s="29">
        <f t="shared" si="7"/>
        <v>-2.8999999999996362E-2</v>
      </c>
      <c r="AA13" s="62">
        <f t="shared" si="8"/>
        <v>7.2000000000002728E-2</v>
      </c>
      <c r="AB13" s="62">
        <f t="shared" si="9"/>
        <v>1.9999999999527063E-3</v>
      </c>
      <c r="AC13" s="62">
        <f t="shared" si="10"/>
        <v>-2.4999999999977263E-2</v>
      </c>
      <c r="AD13" s="62">
        <f t="shared" si="1"/>
        <v>-9.0000000000145519E-3</v>
      </c>
      <c r="AE13" s="62">
        <f t="shared" si="5"/>
        <v>2.4999999999977263E-2</v>
      </c>
      <c r="AF13" s="81">
        <f t="shared" si="3"/>
        <v>-1.2999999999919964E-2</v>
      </c>
      <c r="AG13" s="79">
        <f t="shared" si="14"/>
        <v>-5.1111111111039366E-3</v>
      </c>
      <c r="AH13" s="45"/>
      <c r="AI13" s="28"/>
      <c r="AJ13" s="62">
        <f t="shared" si="11"/>
        <v>-2.7000000000043656E-2</v>
      </c>
      <c r="AK13" s="62">
        <f t="shared" si="12"/>
        <v>3.1000000000062755E-2</v>
      </c>
      <c r="AL13" s="62">
        <f>Q13-O13</f>
        <v>1.5999999999962711E-2</v>
      </c>
      <c r="AM13" s="62">
        <f t="shared" si="13"/>
        <v>-1.4999999999986358E-2</v>
      </c>
      <c r="AN13" s="62">
        <f t="shared" si="2"/>
        <v>-1.7000000000052751E-2</v>
      </c>
      <c r="AO13" s="61">
        <f>(U13-K13)/5</f>
        <v>-2.4000000000114598E-3</v>
      </c>
      <c r="AP13" s="62">
        <f t="shared" si="6"/>
        <v>-1.4999999999986358E-2</v>
      </c>
      <c r="AQ13" s="62">
        <f t="shared" si="4"/>
        <v>-2.7999999999906322E-2</v>
      </c>
    </row>
    <row r="14" spans="1:43" x14ac:dyDescent="0.25">
      <c r="A14" s="3">
        <v>121</v>
      </c>
      <c r="B14" s="60">
        <v>2244410.199</v>
      </c>
      <c r="C14" s="60">
        <v>6123306.1730000004</v>
      </c>
      <c r="D14" s="60">
        <v>127.086</v>
      </c>
      <c r="E14" s="58" t="s">
        <v>3</v>
      </c>
      <c r="F14" s="27">
        <v>129.75700000000001</v>
      </c>
      <c r="G14" s="27">
        <v>129.51599999999999</v>
      </c>
      <c r="H14" s="27">
        <v>129.405</v>
      </c>
      <c r="I14" s="27">
        <v>129.08500000000001</v>
      </c>
      <c r="J14" s="27">
        <v>128.93</v>
      </c>
      <c r="K14" s="27">
        <v>128.703</v>
      </c>
      <c r="L14" s="27">
        <v>128.63999999999999</v>
      </c>
      <c r="M14" s="60">
        <v>128.31399999999999</v>
      </c>
      <c r="N14" s="27">
        <v>128.137</v>
      </c>
      <c r="O14" s="60">
        <v>128.024</v>
      </c>
      <c r="P14" s="60">
        <v>127.79900000000001</v>
      </c>
      <c r="Q14" s="60">
        <v>127.68600000000001</v>
      </c>
      <c r="R14" s="60">
        <v>127.64</v>
      </c>
      <c r="S14" s="60">
        <v>127.51900000000001</v>
      </c>
      <c r="T14" s="60">
        <v>127.44199999999999</v>
      </c>
      <c r="U14" s="60">
        <v>127.371</v>
      </c>
      <c r="V14" s="71">
        <v>127.297</v>
      </c>
      <c r="W14" s="71">
        <f t="shared" si="0"/>
        <v>127.086</v>
      </c>
      <c r="X14" s="89">
        <f t="shared" ref="X14:X25" si="15">H14-F14</f>
        <v>-0.35200000000000387</v>
      </c>
      <c r="Y14" s="27">
        <f t="shared" ref="Y14:Y25" si="16">J14-H14</f>
        <v>-0.47499999999999432</v>
      </c>
      <c r="Z14" s="29">
        <f t="shared" si="7"/>
        <v>-0.29000000000002046</v>
      </c>
      <c r="AA14" s="62">
        <f t="shared" si="8"/>
        <v>-0.5029999999999859</v>
      </c>
      <c r="AB14" s="62">
        <f t="shared" si="9"/>
        <v>-0.33799999999999386</v>
      </c>
      <c r="AC14" s="62">
        <f t="shared" si="10"/>
        <v>-0.15900000000000603</v>
      </c>
      <c r="AD14" s="62">
        <f t="shared" si="1"/>
        <v>-0.1980000000000075</v>
      </c>
      <c r="AE14" s="62">
        <f t="shared" si="5"/>
        <v>-0.14499999999999602</v>
      </c>
      <c r="AF14" s="71">
        <f t="shared" si="3"/>
        <v>-0.21099999999999852</v>
      </c>
      <c r="AG14" s="71">
        <f t="shared" si="14"/>
        <v>-0.29677777777777847</v>
      </c>
      <c r="AH14" s="45">
        <f t="shared" ref="AH14:AH25" si="17">I14-G14</f>
        <v>-0.43099999999998317</v>
      </c>
      <c r="AI14" s="29">
        <f t="shared" ref="AI14:AI25" si="18">K14-I14</f>
        <v>-0.382000000000005</v>
      </c>
      <c r="AJ14" s="62">
        <f t="shared" si="11"/>
        <v>-0.38900000000001</v>
      </c>
      <c r="AK14" s="62">
        <f t="shared" si="12"/>
        <v>-0.28999999999999204</v>
      </c>
      <c r="AL14" s="62">
        <f>Q14-O14</f>
        <v>-0.33799999999999386</v>
      </c>
      <c r="AM14" s="62">
        <f t="shared" si="13"/>
        <v>-0.16700000000000159</v>
      </c>
      <c r="AN14" s="62">
        <f t="shared" si="2"/>
        <v>-0.14800000000001035</v>
      </c>
      <c r="AO14" s="62">
        <f t="shared" ref="AO14:AO24" si="19">(U14-$G14)/7</f>
        <v>-0.30642857142857088</v>
      </c>
      <c r="AP14" s="62">
        <f t="shared" si="6"/>
        <v>-7.3999999999998067E-2</v>
      </c>
      <c r="AQ14" s="62">
        <f t="shared" si="4"/>
        <v>-0.28499999999999659</v>
      </c>
    </row>
    <row r="15" spans="1:43" x14ac:dyDescent="0.25">
      <c r="A15" s="3">
        <v>122</v>
      </c>
      <c r="B15" s="60">
        <v>2166402.6570000001</v>
      </c>
      <c r="C15" s="60">
        <v>6153888.6459999997</v>
      </c>
      <c r="D15" s="60">
        <v>167.15600000000001</v>
      </c>
      <c r="E15" s="58" t="s">
        <v>4</v>
      </c>
      <c r="F15" s="27">
        <v>167.999</v>
      </c>
      <c r="G15" s="27">
        <v>167.90600000000001</v>
      </c>
      <c r="H15" s="27">
        <v>168</v>
      </c>
      <c r="I15" s="27">
        <v>167.86799999999999</v>
      </c>
      <c r="J15" s="27">
        <v>167.83</v>
      </c>
      <c r="K15" s="27">
        <v>167.696</v>
      </c>
      <c r="L15" s="27">
        <v>167.71899999999999</v>
      </c>
      <c r="M15" s="60">
        <v>167.54300000000001</v>
      </c>
      <c r="N15" s="27">
        <v>167.46299999999999</v>
      </c>
      <c r="O15" s="60">
        <v>167.42400000000001</v>
      </c>
      <c r="P15" s="60">
        <v>167.274</v>
      </c>
      <c r="Q15" s="60">
        <v>167.29300000000001</v>
      </c>
      <c r="R15" s="60">
        <v>167.37</v>
      </c>
      <c r="S15" s="60">
        <v>167.39599999999999</v>
      </c>
      <c r="T15" s="60">
        <v>167.31299999999999</v>
      </c>
      <c r="U15" s="60">
        <v>167.291</v>
      </c>
      <c r="V15" s="71">
        <v>167.214</v>
      </c>
      <c r="W15" s="71">
        <f t="shared" si="0"/>
        <v>167.15600000000001</v>
      </c>
      <c r="X15" s="89">
        <f t="shared" si="15"/>
        <v>1.0000000000047748E-3</v>
      </c>
      <c r="Y15" s="27">
        <f t="shared" si="16"/>
        <v>-0.16999999999998749</v>
      </c>
      <c r="Z15" s="29">
        <f t="shared" si="7"/>
        <v>-0.11100000000001842</v>
      </c>
      <c r="AA15" s="62">
        <f t="shared" si="8"/>
        <v>-0.25600000000000023</v>
      </c>
      <c r="AB15" s="62">
        <f t="shared" si="9"/>
        <v>-0.18899999999999295</v>
      </c>
      <c r="AC15" s="62">
        <f t="shared" si="10"/>
        <v>9.6000000000003638E-2</v>
      </c>
      <c r="AD15" s="62">
        <f t="shared" si="1"/>
        <v>-5.7000000000016371E-2</v>
      </c>
      <c r="AE15" s="62">
        <f t="shared" si="5"/>
        <v>-9.8999999999989541E-2</v>
      </c>
      <c r="AF15" s="71">
        <f t="shared" si="3"/>
        <v>-5.7999999999992724E-2</v>
      </c>
      <c r="AG15" s="71">
        <f t="shared" si="14"/>
        <v>-9.3666666666665482E-2</v>
      </c>
      <c r="AH15" s="45">
        <f t="shared" si="17"/>
        <v>-3.8000000000010914E-2</v>
      </c>
      <c r="AI15" s="29">
        <f t="shared" si="18"/>
        <v>-0.17199999999999704</v>
      </c>
      <c r="AJ15" s="62">
        <f t="shared" si="11"/>
        <v>-0.15299999999999159</v>
      </c>
      <c r="AK15" s="62">
        <f t="shared" si="12"/>
        <v>-0.11899999999999977</v>
      </c>
      <c r="AL15" s="62">
        <f>Q15-O15</f>
        <v>-0.13100000000000023</v>
      </c>
      <c r="AM15" s="62">
        <f t="shared" si="13"/>
        <v>0.10299999999998022</v>
      </c>
      <c r="AN15" s="62">
        <f t="shared" si="2"/>
        <v>-0.10499999999998977</v>
      </c>
      <c r="AO15" s="62">
        <f t="shared" si="19"/>
        <v>-8.785714285714416E-2</v>
      </c>
      <c r="AP15" s="62">
        <f t="shared" si="6"/>
        <v>-7.6999999999998181E-2</v>
      </c>
      <c r="AQ15" s="62">
        <f t="shared" si="4"/>
        <v>-0.13499999999999091</v>
      </c>
    </row>
    <row r="16" spans="1:43" x14ac:dyDescent="0.25">
      <c r="A16" s="3">
        <v>123</v>
      </c>
      <c r="B16" s="60">
        <v>2232691.233</v>
      </c>
      <c r="C16" s="60">
        <v>6167201.5650000004</v>
      </c>
      <c r="D16" s="60">
        <v>158.179</v>
      </c>
      <c r="E16" s="58" t="s">
        <v>5</v>
      </c>
      <c r="F16" s="27">
        <v>162.65899999999999</v>
      </c>
      <c r="G16" s="27">
        <v>162.40299999999999</v>
      </c>
      <c r="H16" s="27">
        <v>162.35300000000001</v>
      </c>
      <c r="I16" s="27">
        <v>162.14400000000001</v>
      </c>
      <c r="J16" s="27">
        <v>161.84</v>
      </c>
      <c r="K16" s="27">
        <v>161.626</v>
      </c>
      <c r="L16" s="27">
        <v>161.52600000000001</v>
      </c>
      <c r="M16" s="60">
        <v>161.09399999999999</v>
      </c>
      <c r="N16" s="27">
        <v>160.852</v>
      </c>
      <c r="O16" s="60">
        <v>160.542</v>
      </c>
      <c r="P16" s="60">
        <v>160.249</v>
      </c>
      <c r="Q16" s="60">
        <v>159.88999999999999</v>
      </c>
      <c r="R16" s="60">
        <v>159.71</v>
      </c>
      <c r="S16" s="60">
        <v>159.29300000000001</v>
      </c>
      <c r="T16" s="60">
        <v>159.11199999999999</v>
      </c>
      <c r="U16" s="60">
        <v>158.81100000000001</v>
      </c>
      <c r="V16" s="71">
        <v>158.572</v>
      </c>
      <c r="W16" s="71">
        <f t="shared" si="0"/>
        <v>158.179</v>
      </c>
      <c r="X16" s="89">
        <f t="shared" si="15"/>
        <v>-0.30599999999998317</v>
      </c>
      <c r="Y16" s="27">
        <f t="shared" si="16"/>
        <v>-0.51300000000000523</v>
      </c>
      <c r="Z16" s="29">
        <f t="shared" si="7"/>
        <v>-0.31399999999999295</v>
      </c>
      <c r="AA16" s="62">
        <f t="shared" si="8"/>
        <v>-0.67400000000000659</v>
      </c>
      <c r="AB16" s="62">
        <f t="shared" si="9"/>
        <v>-0.60300000000000864</v>
      </c>
      <c r="AC16" s="62">
        <f t="shared" si="10"/>
        <v>-0.53899999999998727</v>
      </c>
      <c r="AD16" s="62">
        <f t="shared" si="1"/>
        <v>-0.59800000000001319</v>
      </c>
      <c r="AE16" s="62">
        <f t="shared" si="5"/>
        <v>-0.53999999999999204</v>
      </c>
      <c r="AF16" s="71">
        <f t="shared" si="3"/>
        <v>-0.39300000000000068</v>
      </c>
      <c r="AG16" s="71">
        <f t="shared" si="14"/>
        <v>-0.49777777777777665</v>
      </c>
      <c r="AH16" s="45">
        <f t="shared" si="17"/>
        <v>-0.25899999999998613</v>
      </c>
      <c r="AI16" s="29">
        <f t="shared" si="18"/>
        <v>-0.51800000000000068</v>
      </c>
      <c r="AJ16" s="62">
        <f t="shared" si="11"/>
        <v>-0.53200000000001069</v>
      </c>
      <c r="AK16" s="62">
        <f t="shared" si="12"/>
        <v>-0.5519999999999925</v>
      </c>
      <c r="AL16" s="62">
        <f>P16-N16</f>
        <v>-0.60300000000000864</v>
      </c>
      <c r="AM16" s="62">
        <f t="shared" si="13"/>
        <v>-0.59699999999997999</v>
      </c>
      <c r="AN16" s="62">
        <f t="shared" si="2"/>
        <v>-0.48199999999999932</v>
      </c>
      <c r="AO16" s="62">
        <f t="shared" si="19"/>
        <v>-0.5131428571428549</v>
      </c>
      <c r="AP16" s="62">
        <f t="shared" si="6"/>
        <v>-0.23900000000000432</v>
      </c>
      <c r="AQ16" s="62">
        <f t="shared" si="4"/>
        <v>-0.632000000000005</v>
      </c>
    </row>
    <row r="17" spans="1:43" x14ac:dyDescent="0.25">
      <c r="A17" s="3">
        <v>124</v>
      </c>
      <c r="B17" s="60">
        <v>2280839.0499999998</v>
      </c>
      <c r="C17" s="60">
        <v>6138903.1880000001</v>
      </c>
      <c r="D17" s="60">
        <v>145.77199999999999</v>
      </c>
      <c r="E17" s="58" t="s">
        <v>6</v>
      </c>
      <c r="F17" s="27">
        <v>149.56399999999999</v>
      </c>
      <c r="G17" s="27">
        <v>149.33699999999999</v>
      </c>
      <c r="H17" s="27">
        <v>149.31899999999999</v>
      </c>
      <c r="I17" s="27">
        <v>148.899</v>
      </c>
      <c r="J17" s="27">
        <v>148.68</v>
      </c>
      <c r="K17" s="27">
        <v>148.22399999999999</v>
      </c>
      <c r="L17" s="27">
        <v>148.08699999999999</v>
      </c>
      <c r="M17" s="60">
        <v>147.33000000000001</v>
      </c>
      <c r="N17" s="27">
        <v>147.137</v>
      </c>
      <c r="O17" s="60">
        <v>146.95599999999999</v>
      </c>
      <c r="P17" s="60">
        <v>146.721</v>
      </c>
      <c r="Q17" s="60">
        <v>146.58799999999999</v>
      </c>
      <c r="R17" s="60">
        <v>146.55000000000001</v>
      </c>
      <c r="S17" s="60">
        <v>146.233</v>
      </c>
      <c r="T17" s="60">
        <v>146.23699999999999</v>
      </c>
      <c r="U17" s="60">
        <v>146.047</v>
      </c>
      <c r="V17" s="71">
        <v>146.078</v>
      </c>
      <c r="W17" s="71">
        <f t="shared" si="0"/>
        <v>145.77199999999999</v>
      </c>
      <c r="X17" s="89">
        <f t="shared" si="15"/>
        <v>-0.24500000000000455</v>
      </c>
      <c r="Y17" s="27">
        <f t="shared" si="16"/>
        <v>-0.63899999999998158</v>
      </c>
      <c r="Z17" s="29">
        <f t="shared" si="7"/>
        <v>-0.59300000000001774</v>
      </c>
      <c r="AA17" s="62">
        <f t="shared" si="8"/>
        <v>-0.94999999999998863</v>
      </c>
      <c r="AB17" s="62">
        <f t="shared" si="9"/>
        <v>-0.41599999999999682</v>
      </c>
      <c r="AC17" s="62">
        <f t="shared" si="10"/>
        <v>-0.17099999999999227</v>
      </c>
      <c r="AD17" s="62">
        <f t="shared" si="1"/>
        <v>-0.3130000000000166</v>
      </c>
      <c r="AE17" s="62">
        <f t="shared" si="5"/>
        <v>-0.15899999999999181</v>
      </c>
      <c r="AF17" s="71">
        <f t="shared" si="3"/>
        <v>-0.3060000000000116</v>
      </c>
      <c r="AG17" s="71">
        <f t="shared" si="14"/>
        <v>-0.4213333333333335</v>
      </c>
      <c r="AH17" s="45">
        <f t="shared" si="17"/>
        <v>-0.43799999999998818</v>
      </c>
      <c r="AI17" s="29">
        <f t="shared" si="18"/>
        <v>-0.67500000000001137</v>
      </c>
      <c r="AJ17" s="62">
        <f t="shared" si="11"/>
        <v>-0.89399999999997704</v>
      </c>
      <c r="AK17" s="62">
        <f t="shared" si="12"/>
        <v>-0.37400000000002365</v>
      </c>
      <c r="AL17" s="62">
        <f t="shared" ref="AL17:AL25" si="20">Q17-O17</f>
        <v>-0.367999999999995</v>
      </c>
      <c r="AM17" s="62">
        <f t="shared" si="13"/>
        <v>-0.35499999999998977</v>
      </c>
      <c r="AN17" s="62">
        <f t="shared" si="2"/>
        <v>-0.18600000000000705</v>
      </c>
      <c r="AO17" s="62">
        <f t="shared" si="19"/>
        <v>-0.46999999999999886</v>
      </c>
      <c r="AP17" s="62">
        <f t="shared" si="6"/>
        <v>3.1000000000005912E-2</v>
      </c>
      <c r="AQ17" s="62">
        <f t="shared" si="4"/>
        <v>-0.27500000000000568</v>
      </c>
    </row>
    <row r="18" spans="1:43" x14ac:dyDescent="0.25">
      <c r="A18" s="77">
        <v>125</v>
      </c>
      <c r="B18" s="120" t="s">
        <v>104</v>
      </c>
      <c r="C18" s="120"/>
      <c r="D18" s="120"/>
      <c r="E18" s="58" t="s">
        <v>7</v>
      </c>
      <c r="F18" s="27">
        <v>184.18100000000001</v>
      </c>
      <c r="G18" s="27">
        <v>184.072</v>
      </c>
      <c r="H18" s="27">
        <v>184.12899999999999</v>
      </c>
      <c r="I18" s="27">
        <v>184.02699999999999</v>
      </c>
      <c r="J18" s="27">
        <v>183.97</v>
      </c>
      <c r="K18" s="27">
        <v>183.85599999999999</v>
      </c>
      <c r="L18" s="27">
        <v>183.87799999999999</v>
      </c>
      <c r="M18" s="60">
        <v>183.73</v>
      </c>
      <c r="N18" s="27">
        <v>183.66</v>
      </c>
      <c r="O18" s="60">
        <v>183.65600000000001</v>
      </c>
      <c r="P18" s="60">
        <v>183.48400000000001</v>
      </c>
      <c r="Q18" s="60">
        <v>183.48</v>
      </c>
      <c r="R18" s="60">
        <v>183.51</v>
      </c>
      <c r="S18" s="60">
        <v>183.435</v>
      </c>
      <c r="T18" s="60">
        <v>183.36199999999999</v>
      </c>
      <c r="U18" s="60">
        <v>183.30199999999999</v>
      </c>
      <c r="V18" s="113"/>
      <c r="W18" s="113"/>
      <c r="X18" s="89">
        <f t="shared" si="15"/>
        <v>-5.2000000000020918E-2</v>
      </c>
      <c r="Y18" s="27">
        <f t="shared" si="16"/>
        <v>-0.15899999999999181</v>
      </c>
      <c r="Z18" s="29">
        <f t="shared" si="7"/>
        <v>-9.200000000001296E-2</v>
      </c>
      <c r="AA18" s="62">
        <f t="shared" si="8"/>
        <v>-0.21799999999998931</v>
      </c>
      <c r="AB18" s="62">
        <f t="shared" si="9"/>
        <v>-0.17599999999998772</v>
      </c>
      <c r="AC18" s="62">
        <f t="shared" si="10"/>
        <v>2.5999999999982037E-2</v>
      </c>
      <c r="AD18" s="62">
        <f t="shared" si="1"/>
        <v>-0.14799999999999613</v>
      </c>
      <c r="AE18" s="117"/>
      <c r="AF18" s="113"/>
      <c r="AG18" s="113"/>
      <c r="AH18" s="45">
        <f t="shared" si="17"/>
        <v>-4.5000000000015916E-2</v>
      </c>
      <c r="AI18" s="29">
        <f t="shared" si="18"/>
        <v>-0.17099999999999227</v>
      </c>
      <c r="AJ18" s="62">
        <f t="shared" si="11"/>
        <v>-0.12600000000000477</v>
      </c>
      <c r="AK18" s="62">
        <f t="shared" si="12"/>
        <v>-7.3999999999983856E-2</v>
      </c>
      <c r="AL18" s="62">
        <f t="shared" si="20"/>
        <v>-0.17600000000001614</v>
      </c>
      <c r="AM18" s="62">
        <f t="shared" si="13"/>
        <v>-4.4999999999987494E-2</v>
      </c>
      <c r="AN18" s="62">
        <f t="shared" si="2"/>
        <v>-0.13300000000000978</v>
      </c>
      <c r="AO18" s="62">
        <f t="shared" si="19"/>
        <v>-0.11000000000000146</v>
      </c>
      <c r="AP18" s="117"/>
      <c r="AQ18" s="117"/>
    </row>
    <row r="19" spans="1:43" x14ac:dyDescent="0.25">
      <c r="A19" s="3">
        <v>126</v>
      </c>
      <c r="B19" s="60">
        <v>2355392.8190000001</v>
      </c>
      <c r="C19" s="60">
        <v>6132094.6100000003</v>
      </c>
      <c r="D19" s="60">
        <v>167.11</v>
      </c>
      <c r="E19" s="58" t="s">
        <v>116</v>
      </c>
      <c r="F19" s="27">
        <v>167.376</v>
      </c>
      <c r="G19" s="27">
        <v>167.291</v>
      </c>
      <c r="H19" s="27">
        <v>167.29300000000001</v>
      </c>
      <c r="I19" s="27">
        <v>167.286</v>
      </c>
      <c r="J19" s="27">
        <v>167.17</v>
      </c>
      <c r="K19" s="27">
        <v>167.27699999999999</v>
      </c>
      <c r="L19" s="27">
        <v>167.35</v>
      </c>
      <c r="M19" s="60">
        <v>167.178</v>
      </c>
      <c r="N19" s="27">
        <v>167.12299999999999</v>
      </c>
      <c r="O19" s="60">
        <v>167.33799999999999</v>
      </c>
      <c r="P19" s="60">
        <v>167.179</v>
      </c>
      <c r="Q19" s="60">
        <v>167.25800000000001</v>
      </c>
      <c r="R19" s="60">
        <v>167.16</v>
      </c>
      <c r="S19" s="60">
        <v>167.11099999999999</v>
      </c>
      <c r="T19" s="60">
        <v>167.16</v>
      </c>
      <c r="U19" s="60">
        <v>167.167</v>
      </c>
      <c r="V19" s="71">
        <v>167.21</v>
      </c>
      <c r="W19" s="71">
        <f t="shared" si="0"/>
        <v>167.11</v>
      </c>
      <c r="X19" s="89">
        <f t="shared" si="15"/>
        <v>-8.2999999999998408E-2</v>
      </c>
      <c r="Y19" s="27">
        <f t="shared" si="16"/>
        <v>-0.12300000000001887</v>
      </c>
      <c r="Z19" s="29">
        <f t="shared" si="7"/>
        <v>0.18000000000000682</v>
      </c>
      <c r="AA19" s="62">
        <f t="shared" si="8"/>
        <v>-0.22700000000000387</v>
      </c>
      <c r="AB19" s="62">
        <f t="shared" si="9"/>
        <v>5.6000000000011596E-2</v>
      </c>
      <c r="AC19" s="62">
        <f t="shared" si="10"/>
        <v>-1.9000000000005457E-2</v>
      </c>
      <c r="AD19" s="62">
        <f t="shared" si="1"/>
        <v>0</v>
      </c>
      <c r="AE19" s="62">
        <f t="shared" ref="AE19:AE24" si="21">V19-T19</f>
        <v>5.0000000000011369E-2</v>
      </c>
      <c r="AF19" s="71">
        <f t="shared" si="3"/>
        <v>-9.9999999999994316E-2</v>
      </c>
      <c r="AG19" s="71">
        <f t="shared" si="14"/>
        <v>-2.9555555555554572E-2</v>
      </c>
      <c r="AH19" s="45">
        <f t="shared" si="17"/>
        <v>-4.9999999999954525E-3</v>
      </c>
      <c r="AI19" s="29">
        <f t="shared" si="18"/>
        <v>-9.0000000000145519E-3</v>
      </c>
      <c r="AJ19" s="62">
        <f t="shared" si="11"/>
        <v>-9.8999999999989541E-2</v>
      </c>
      <c r="AK19" s="62">
        <f t="shared" si="12"/>
        <v>0.15999999999999659</v>
      </c>
      <c r="AL19" s="62">
        <f t="shared" si="20"/>
        <v>-7.9999999999984084E-2</v>
      </c>
      <c r="AM19" s="62">
        <f t="shared" si="13"/>
        <v>-0.14700000000001978</v>
      </c>
      <c r="AN19" s="62">
        <f t="shared" si="2"/>
        <v>5.6000000000011596E-2</v>
      </c>
      <c r="AO19" s="62">
        <f t="shared" si="19"/>
        <v>-1.7714285714285034E-2</v>
      </c>
      <c r="AP19" s="62">
        <f t="shared" ref="AP19:AP24" si="22">V19-U19</f>
        <v>4.3000000000006366E-2</v>
      </c>
      <c r="AQ19" s="62">
        <f t="shared" si="4"/>
        <v>-5.6999999999987949E-2</v>
      </c>
    </row>
    <row r="20" spans="1:43" x14ac:dyDescent="0.25">
      <c r="A20" s="3">
        <v>127</v>
      </c>
      <c r="B20" s="60">
        <v>2195250.7310000001</v>
      </c>
      <c r="C20" s="60">
        <v>6199772.7280000001</v>
      </c>
      <c r="D20" s="60">
        <v>181.489</v>
      </c>
      <c r="E20" s="58" t="s">
        <v>8</v>
      </c>
      <c r="F20" s="27">
        <v>182.87200000000001</v>
      </c>
      <c r="G20" s="27">
        <v>182.89500000000001</v>
      </c>
      <c r="H20" s="27">
        <v>182.821</v>
      </c>
      <c r="I20" s="27">
        <v>182.73599999999999</v>
      </c>
      <c r="J20" s="27">
        <v>182.64</v>
      </c>
      <c r="K20" s="27">
        <v>182.49799999999999</v>
      </c>
      <c r="L20" s="27">
        <v>182.52500000000001</v>
      </c>
      <c r="M20" s="60">
        <v>182.393</v>
      </c>
      <c r="N20" s="27">
        <v>182.30099999999999</v>
      </c>
      <c r="O20" s="60">
        <v>182.19200000000001</v>
      </c>
      <c r="P20" s="60">
        <v>182.09</v>
      </c>
      <c r="Q20" s="60">
        <v>181.91200000000001</v>
      </c>
      <c r="R20" s="60">
        <v>181.93</v>
      </c>
      <c r="S20" s="60">
        <v>181.84299999999999</v>
      </c>
      <c r="T20" s="60">
        <v>181.738</v>
      </c>
      <c r="U20" s="60">
        <v>181.69499999999999</v>
      </c>
      <c r="V20" s="71">
        <v>181.572</v>
      </c>
      <c r="W20" s="71">
        <f t="shared" si="0"/>
        <v>181.489</v>
      </c>
      <c r="X20" s="89">
        <f t="shared" si="15"/>
        <v>-5.1000000000016144E-2</v>
      </c>
      <c r="Y20" s="27">
        <f t="shared" si="16"/>
        <v>-0.1810000000000116</v>
      </c>
      <c r="Z20" s="29">
        <f t="shared" si="7"/>
        <v>-0.11499999999998067</v>
      </c>
      <c r="AA20" s="62">
        <f t="shared" si="8"/>
        <v>-0.22400000000001796</v>
      </c>
      <c r="AB20" s="62">
        <f t="shared" si="9"/>
        <v>-0.21099999999998431</v>
      </c>
      <c r="AC20" s="62">
        <f t="shared" si="10"/>
        <v>-0.15999999999999659</v>
      </c>
      <c r="AD20" s="62">
        <f t="shared" si="1"/>
        <v>-0.19200000000000728</v>
      </c>
      <c r="AE20" s="62">
        <f t="shared" si="21"/>
        <v>-0.16599999999999682</v>
      </c>
      <c r="AF20" s="71">
        <f t="shared" si="3"/>
        <v>-8.2999999999998408E-2</v>
      </c>
      <c r="AG20" s="71">
        <f t="shared" si="14"/>
        <v>-0.15366666666666776</v>
      </c>
      <c r="AH20" s="45">
        <f t="shared" si="17"/>
        <v>-0.15900000000002024</v>
      </c>
      <c r="AI20" s="29">
        <f t="shared" si="18"/>
        <v>-0.23799999999999955</v>
      </c>
      <c r="AJ20" s="62">
        <f t="shared" si="11"/>
        <v>-0.10499999999998977</v>
      </c>
      <c r="AK20" s="62">
        <f t="shared" si="12"/>
        <v>-0.20099999999999341</v>
      </c>
      <c r="AL20" s="62">
        <f t="shared" si="20"/>
        <v>-0.28000000000000114</v>
      </c>
      <c r="AM20" s="62">
        <f t="shared" si="13"/>
        <v>-6.9000000000016826E-2</v>
      </c>
      <c r="AN20" s="62">
        <f t="shared" si="2"/>
        <v>-0.14799999999999613</v>
      </c>
      <c r="AO20" s="62">
        <f t="shared" si="19"/>
        <v>-0.17142857142857387</v>
      </c>
      <c r="AP20" s="62">
        <f t="shared" si="22"/>
        <v>-0.12299999999999045</v>
      </c>
      <c r="AQ20" s="62">
        <f t="shared" si="4"/>
        <v>-0.20599999999998886</v>
      </c>
    </row>
    <row r="21" spans="1:43" x14ac:dyDescent="0.25">
      <c r="A21" s="41">
        <v>128</v>
      </c>
      <c r="B21" s="60">
        <v>2114491.923</v>
      </c>
      <c r="C21" s="60">
        <v>6074855.7120000003</v>
      </c>
      <c r="D21" s="60">
        <v>619.26</v>
      </c>
      <c r="E21" s="58" t="s">
        <v>9</v>
      </c>
      <c r="F21" s="27">
        <v>619.25699999999995</v>
      </c>
      <c r="G21" s="27">
        <v>619.26</v>
      </c>
      <c r="H21" s="27">
        <v>619.26</v>
      </c>
      <c r="I21" s="27">
        <v>619.26</v>
      </c>
      <c r="J21" s="27">
        <v>619.26</v>
      </c>
      <c r="K21" s="27">
        <v>619.26</v>
      </c>
      <c r="L21" s="27">
        <v>619.29999999999995</v>
      </c>
      <c r="M21" s="60">
        <v>619.29999999999995</v>
      </c>
      <c r="N21" s="27">
        <v>619.26</v>
      </c>
      <c r="O21" s="60">
        <v>619.26</v>
      </c>
      <c r="P21" s="71">
        <v>619.26</v>
      </c>
      <c r="Q21" s="60">
        <v>619.26</v>
      </c>
      <c r="R21" s="60">
        <v>619.26</v>
      </c>
      <c r="S21" s="60">
        <v>619.26</v>
      </c>
      <c r="T21" s="60">
        <v>619.26</v>
      </c>
      <c r="U21" s="60">
        <v>619.26</v>
      </c>
      <c r="V21" s="71">
        <v>619.26</v>
      </c>
      <c r="W21" s="71">
        <f t="shared" si="0"/>
        <v>619.26</v>
      </c>
      <c r="X21" s="89">
        <f t="shared" si="15"/>
        <v>3.0000000000427463E-3</v>
      </c>
      <c r="Y21" s="27">
        <f t="shared" si="16"/>
        <v>0</v>
      </c>
      <c r="Z21" s="29">
        <f t="shared" si="7"/>
        <v>3.999999999996362E-2</v>
      </c>
      <c r="AA21" s="62">
        <f t="shared" si="8"/>
        <v>-3.999999999996362E-2</v>
      </c>
      <c r="AB21" s="62">
        <f t="shared" si="9"/>
        <v>0</v>
      </c>
      <c r="AC21" s="62">
        <f t="shared" si="10"/>
        <v>0</v>
      </c>
      <c r="AD21" s="62">
        <f t="shared" si="1"/>
        <v>0</v>
      </c>
      <c r="AE21" s="62">
        <f t="shared" si="21"/>
        <v>0</v>
      </c>
      <c r="AF21" s="71">
        <f t="shared" si="3"/>
        <v>0</v>
      </c>
      <c r="AG21" s="71">
        <f t="shared" si="14"/>
        <v>3.3333333333808294E-4</v>
      </c>
      <c r="AH21" s="45">
        <f t="shared" si="17"/>
        <v>0</v>
      </c>
      <c r="AI21" s="29">
        <f t="shared" si="18"/>
        <v>0</v>
      </c>
      <c r="AJ21" s="62">
        <f t="shared" si="11"/>
        <v>3.999999999996362E-2</v>
      </c>
      <c r="AK21" s="62">
        <f t="shared" si="12"/>
        <v>-3.999999999996362E-2</v>
      </c>
      <c r="AL21" s="62">
        <f t="shared" si="20"/>
        <v>0</v>
      </c>
      <c r="AM21" s="62">
        <f t="shared" si="13"/>
        <v>0</v>
      </c>
      <c r="AN21" s="62">
        <f t="shared" si="2"/>
        <v>0</v>
      </c>
      <c r="AO21" s="62">
        <f t="shared" si="19"/>
        <v>0</v>
      </c>
      <c r="AP21" s="62">
        <f t="shared" si="22"/>
        <v>0</v>
      </c>
      <c r="AQ21" s="62">
        <f t="shared" si="4"/>
        <v>0</v>
      </c>
    </row>
    <row r="22" spans="1:43" x14ac:dyDescent="0.25">
      <c r="A22" s="3">
        <v>129</v>
      </c>
      <c r="B22" s="60">
        <v>2198475.3670000001</v>
      </c>
      <c r="C22" s="60">
        <v>6133714.1150000002</v>
      </c>
      <c r="D22" s="60">
        <v>144.95500000000001</v>
      </c>
      <c r="E22" s="58" t="s">
        <v>10</v>
      </c>
      <c r="F22" s="27">
        <v>146.36099999999999</v>
      </c>
      <c r="G22" s="27">
        <v>146.28</v>
      </c>
      <c r="H22" s="27">
        <v>146.29300000000001</v>
      </c>
      <c r="I22" s="27">
        <v>146.18199999999999</v>
      </c>
      <c r="J22" s="27">
        <v>146.07</v>
      </c>
      <c r="K22" s="27">
        <v>145.96199999999999</v>
      </c>
      <c r="L22" s="27">
        <v>145.98500000000001</v>
      </c>
      <c r="M22" s="60">
        <v>145.77199999999999</v>
      </c>
      <c r="N22" s="27">
        <v>145.715</v>
      </c>
      <c r="O22" s="60">
        <v>145.57499999999999</v>
      </c>
      <c r="P22" s="60">
        <v>145.43700000000001</v>
      </c>
      <c r="Q22" s="60">
        <v>145.422</v>
      </c>
      <c r="R22" s="60">
        <v>145.41999999999999</v>
      </c>
      <c r="S22" s="60">
        <v>145.35400000000001</v>
      </c>
      <c r="T22" s="60">
        <v>145.28399999999999</v>
      </c>
      <c r="U22" s="60">
        <v>145.19399999999999</v>
      </c>
      <c r="V22" s="71">
        <v>145.11699999999999</v>
      </c>
      <c r="W22" s="71">
        <f t="shared" si="0"/>
        <v>144.95500000000001</v>
      </c>
      <c r="X22" s="89">
        <f t="shared" si="15"/>
        <v>-6.7999999999983629E-2</v>
      </c>
      <c r="Y22" s="27">
        <f t="shared" si="16"/>
        <v>-0.22300000000001319</v>
      </c>
      <c r="Z22" s="29">
        <f t="shared" si="7"/>
        <v>-8.4999999999979536E-2</v>
      </c>
      <c r="AA22" s="62">
        <f t="shared" si="8"/>
        <v>-0.27000000000001023</v>
      </c>
      <c r="AB22" s="62">
        <f t="shared" si="9"/>
        <v>-0.27799999999999159</v>
      </c>
      <c r="AC22" s="62">
        <f t="shared" si="10"/>
        <v>-1.7000000000024329E-2</v>
      </c>
      <c r="AD22" s="62">
        <f t="shared" si="1"/>
        <v>-0.13599999999999568</v>
      </c>
      <c r="AE22" s="62">
        <f t="shared" si="21"/>
        <v>-0.16700000000000159</v>
      </c>
      <c r="AF22" s="71">
        <f t="shared" si="3"/>
        <v>-0.16199999999997772</v>
      </c>
      <c r="AG22" s="71">
        <f t="shared" si="14"/>
        <v>-0.15622222222221971</v>
      </c>
      <c r="AH22" s="45">
        <f t="shared" si="17"/>
        <v>-9.8000000000013188E-2</v>
      </c>
      <c r="AI22" s="29">
        <f t="shared" si="18"/>
        <v>-0.21999999999999886</v>
      </c>
      <c r="AJ22" s="62">
        <f t="shared" si="11"/>
        <v>-0.18999999999999773</v>
      </c>
      <c r="AK22" s="62">
        <f t="shared" si="12"/>
        <v>-0.19700000000000273</v>
      </c>
      <c r="AL22" s="62">
        <f t="shared" si="20"/>
        <v>-0.15299999999999159</v>
      </c>
      <c r="AM22" s="62">
        <f t="shared" si="13"/>
        <v>-6.7999999999983629E-2</v>
      </c>
      <c r="AN22" s="62">
        <f t="shared" si="2"/>
        <v>-0.16000000000002501</v>
      </c>
      <c r="AO22" s="62">
        <f t="shared" si="19"/>
        <v>-0.15514285714285897</v>
      </c>
      <c r="AP22" s="62">
        <f t="shared" si="22"/>
        <v>-7.6999999999998181E-2</v>
      </c>
      <c r="AQ22" s="62">
        <f t="shared" si="4"/>
        <v>-0.2389999999999759</v>
      </c>
    </row>
    <row r="23" spans="1:43" x14ac:dyDescent="0.25">
      <c r="A23" s="3">
        <v>130</v>
      </c>
      <c r="B23" s="60">
        <v>2365903.7859999998</v>
      </c>
      <c r="C23" s="60">
        <v>6000988.7450000001</v>
      </c>
      <c r="D23" s="60">
        <v>73.052000000000007</v>
      </c>
      <c r="E23" s="58" t="s">
        <v>11</v>
      </c>
      <c r="F23" s="27">
        <v>73.305000000000007</v>
      </c>
      <c r="G23" s="27">
        <v>73.260999999999996</v>
      </c>
      <c r="H23" s="27">
        <v>73.251000000000005</v>
      </c>
      <c r="I23" s="27">
        <v>73.168000000000006</v>
      </c>
      <c r="J23" s="27">
        <v>73.05</v>
      </c>
      <c r="K23" s="27">
        <v>73.331000000000003</v>
      </c>
      <c r="L23" s="27">
        <v>73.207999999999998</v>
      </c>
      <c r="M23" s="60">
        <v>73.128</v>
      </c>
      <c r="N23" s="27">
        <v>73.075999999999993</v>
      </c>
      <c r="O23" s="60">
        <v>73.138999999999996</v>
      </c>
      <c r="P23" s="60">
        <v>73.162999999999997</v>
      </c>
      <c r="Q23" s="60">
        <v>73.290000000000006</v>
      </c>
      <c r="R23" s="60">
        <v>73.14</v>
      </c>
      <c r="S23" s="60">
        <v>72.971000000000004</v>
      </c>
      <c r="T23" s="60">
        <v>73.171000000000006</v>
      </c>
      <c r="U23" s="60">
        <v>73.195999999999998</v>
      </c>
      <c r="V23" s="71">
        <v>73.263000000000005</v>
      </c>
      <c r="W23" s="71">
        <f t="shared" si="0"/>
        <v>73.052000000000007</v>
      </c>
      <c r="X23" s="89">
        <f t="shared" si="15"/>
        <v>-5.4000000000002046E-2</v>
      </c>
      <c r="Y23" s="27">
        <f t="shared" si="16"/>
        <v>-0.20100000000000762</v>
      </c>
      <c r="Z23" s="29">
        <f t="shared" si="7"/>
        <v>0.15800000000000125</v>
      </c>
      <c r="AA23" s="62">
        <f t="shared" si="8"/>
        <v>-0.132000000000005</v>
      </c>
      <c r="AB23" s="62">
        <f t="shared" si="9"/>
        <v>8.7000000000003297E-2</v>
      </c>
      <c r="AC23" s="62">
        <f t="shared" si="10"/>
        <v>-2.2999999999996135E-2</v>
      </c>
      <c r="AD23" s="62">
        <f t="shared" si="1"/>
        <v>3.1000000000005912E-2</v>
      </c>
      <c r="AE23" s="62">
        <f t="shared" si="21"/>
        <v>9.1999999999998749E-2</v>
      </c>
      <c r="AF23" s="71">
        <f t="shared" si="3"/>
        <v>-0.21099999999999852</v>
      </c>
      <c r="AG23" s="71">
        <f t="shared" si="14"/>
        <v>-2.8111111111111125E-2</v>
      </c>
      <c r="AH23" s="45">
        <f t="shared" si="17"/>
        <v>-9.2999999999989313E-2</v>
      </c>
      <c r="AI23" s="29">
        <f t="shared" si="18"/>
        <v>0.1629999999999967</v>
      </c>
      <c r="AJ23" s="62">
        <f t="shared" si="11"/>
        <v>-0.20300000000000296</v>
      </c>
      <c r="AK23" s="62">
        <f t="shared" si="12"/>
        <v>1.099999999999568E-2</v>
      </c>
      <c r="AL23" s="62">
        <f t="shared" si="20"/>
        <v>0.15100000000001046</v>
      </c>
      <c r="AM23" s="62">
        <f t="shared" si="13"/>
        <v>-0.31900000000000261</v>
      </c>
      <c r="AN23" s="62">
        <f t="shared" si="2"/>
        <v>0.22499999999999432</v>
      </c>
      <c r="AO23" s="62">
        <f t="shared" si="19"/>
        <v>-9.2857142857139616E-3</v>
      </c>
      <c r="AP23" s="62">
        <f t="shared" si="22"/>
        <v>6.7000000000007276E-2</v>
      </c>
      <c r="AQ23" s="62">
        <f t="shared" si="4"/>
        <v>-0.14399999999999125</v>
      </c>
    </row>
    <row r="24" spans="1:43" x14ac:dyDescent="0.25">
      <c r="A24" s="3">
        <v>131</v>
      </c>
      <c r="B24" s="60">
        <v>2332746.3319999999</v>
      </c>
      <c r="C24" s="60">
        <v>6191751.9189999998</v>
      </c>
      <c r="D24" s="60">
        <v>242.881</v>
      </c>
      <c r="E24" s="58" t="s">
        <v>117</v>
      </c>
      <c r="F24" s="27">
        <v>243.12100000000001</v>
      </c>
      <c r="G24" s="27">
        <v>243.12100000000001</v>
      </c>
      <c r="H24" s="27">
        <v>243.142</v>
      </c>
      <c r="I24" s="27">
        <v>243.167</v>
      </c>
      <c r="J24" s="27">
        <v>243.09</v>
      </c>
      <c r="K24" s="27">
        <v>243.10499999999999</v>
      </c>
      <c r="L24" s="27">
        <v>243.072</v>
      </c>
      <c r="M24" s="60">
        <v>242.93</v>
      </c>
      <c r="N24" s="27">
        <v>242.84700000000001</v>
      </c>
      <c r="O24" s="60">
        <v>242.97800000000001</v>
      </c>
      <c r="P24" s="60">
        <v>242.88499999999999</v>
      </c>
      <c r="Q24" s="60">
        <v>242.96899999999999</v>
      </c>
      <c r="R24" s="60">
        <v>242.93</v>
      </c>
      <c r="S24" s="60">
        <v>243.00800000000001</v>
      </c>
      <c r="T24" s="60">
        <v>242.82599999999999</v>
      </c>
      <c r="U24" s="60">
        <v>242.97499999999999</v>
      </c>
      <c r="V24" s="71">
        <v>242.98500000000001</v>
      </c>
      <c r="W24" s="71">
        <f t="shared" si="0"/>
        <v>242.881</v>
      </c>
      <c r="X24" s="89">
        <f t="shared" si="15"/>
        <v>2.0999999999986585E-2</v>
      </c>
      <c r="Y24" s="27">
        <f t="shared" si="16"/>
        <v>-5.1999999999992497E-2</v>
      </c>
      <c r="Z24" s="29">
        <f t="shared" si="7"/>
        <v>-1.8000000000000682E-2</v>
      </c>
      <c r="AA24" s="62">
        <f t="shared" si="8"/>
        <v>-0.22499999999999432</v>
      </c>
      <c r="AB24" s="62">
        <f t="shared" si="9"/>
        <v>3.7999999999982492E-2</v>
      </c>
      <c r="AC24" s="62">
        <f t="shared" si="10"/>
        <v>4.5000000000015916E-2</v>
      </c>
      <c r="AD24" s="62">
        <f t="shared" si="1"/>
        <v>-0.10400000000001342</v>
      </c>
      <c r="AE24" s="62">
        <f t="shared" si="21"/>
        <v>0.15900000000002024</v>
      </c>
      <c r="AF24" s="71">
        <f t="shared" si="3"/>
        <v>-0.10400000000001342</v>
      </c>
      <c r="AG24" s="71">
        <f t="shared" si="14"/>
        <v>-2.6666666666667678E-2</v>
      </c>
      <c r="AH24" s="45">
        <f t="shared" si="17"/>
        <v>4.5999999999992269E-2</v>
      </c>
      <c r="AI24" s="29">
        <f t="shared" si="18"/>
        <v>-6.2000000000011823E-2</v>
      </c>
      <c r="AJ24" s="62">
        <f t="shared" si="11"/>
        <v>-0.17499999999998295</v>
      </c>
      <c r="AK24" s="62">
        <f t="shared" si="12"/>
        <v>4.8000000000001819E-2</v>
      </c>
      <c r="AL24" s="62">
        <f t="shared" si="20"/>
        <v>-9.0000000000145519E-3</v>
      </c>
      <c r="AM24" s="62">
        <f t="shared" si="13"/>
        <v>3.9000000000015689E-2</v>
      </c>
      <c r="AN24" s="62">
        <f t="shared" si="2"/>
        <v>-3.3000000000015461E-2</v>
      </c>
      <c r="AO24" s="62">
        <f t="shared" si="19"/>
        <v>-2.0857142857144999E-2</v>
      </c>
      <c r="AP24" s="62">
        <f t="shared" si="22"/>
        <v>1.0000000000019327E-2</v>
      </c>
      <c r="AQ24" s="62">
        <f t="shared" si="4"/>
        <v>-9.3999999999994088E-2</v>
      </c>
    </row>
    <row r="25" spans="1:43" s="58" customFormat="1" x14ac:dyDescent="0.25">
      <c r="A25" s="77">
        <v>132</v>
      </c>
      <c r="B25" s="120" t="s">
        <v>104</v>
      </c>
      <c r="C25" s="120"/>
      <c r="D25" s="120"/>
      <c r="E25" s="58" t="s">
        <v>109</v>
      </c>
      <c r="F25" s="60">
        <v>127.13800000000001</v>
      </c>
      <c r="G25" s="60">
        <v>126.861</v>
      </c>
      <c r="H25" s="60">
        <v>126.771</v>
      </c>
      <c r="I25" s="60">
        <v>126.303</v>
      </c>
      <c r="J25" s="60">
        <v>126.17</v>
      </c>
      <c r="K25" s="60">
        <v>125.839</v>
      </c>
      <c r="L25" s="60">
        <v>125.732</v>
      </c>
      <c r="M25" s="60">
        <v>125.224</v>
      </c>
      <c r="N25" s="60">
        <v>125.057</v>
      </c>
      <c r="O25" s="60">
        <v>124.84699999999999</v>
      </c>
      <c r="P25" s="60">
        <v>124.64400000000001</v>
      </c>
      <c r="Q25" s="60">
        <v>124.46</v>
      </c>
      <c r="R25" s="60">
        <v>124.4</v>
      </c>
      <c r="S25" s="113"/>
      <c r="T25" s="113"/>
      <c r="U25" s="113"/>
      <c r="V25" s="113"/>
      <c r="W25" s="113"/>
      <c r="X25" s="89">
        <f t="shared" si="15"/>
        <v>-0.36700000000000443</v>
      </c>
      <c r="Y25" s="60">
        <f t="shared" si="16"/>
        <v>-0.60099999999999909</v>
      </c>
      <c r="Z25" s="62">
        <f t="shared" si="7"/>
        <v>-0.43800000000000239</v>
      </c>
      <c r="AA25" s="62">
        <f t="shared" si="8"/>
        <v>-0.67499999999999716</v>
      </c>
      <c r="AB25" s="62">
        <f t="shared" si="9"/>
        <v>-0.4129999999999967</v>
      </c>
      <c r="AC25" s="62">
        <f t="shared" si="10"/>
        <v>-0.24399999999999977</v>
      </c>
      <c r="AD25" s="117"/>
      <c r="AE25" s="117"/>
      <c r="AF25" s="113"/>
      <c r="AG25" s="113"/>
      <c r="AH25" s="45">
        <f t="shared" si="17"/>
        <v>-0.55800000000000693</v>
      </c>
      <c r="AI25" s="62">
        <f t="shared" si="18"/>
        <v>-0.46399999999999864</v>
      </c>
      <c r="AJ25" s="62">
        <f t="shared" si="11"/>
        <v>-0.61499999999999488</v>
      </c>
      <c r="AK25" s="62">
        <f t="shared" si="12"/>
        <v>-0.37700000000000955</v>
      </c>
      <c r="AL25" s="62">
        <f t="shared" si="20"/>
        <v>-0.38700000000000045</v>
      </c>
      <c r="AM25" s="117" t="s">
        <v>100</v>
      </c>
      <c r="AN25" s="117" t="s">
        <v>100</v>
      </c>
      <c r="AO25" s="117"/>
      <c r="AP25" s="117"/>
      <c r="AQ25" s="117"/>
    </row>
    <row r="26" spans="1:43" x14ac:dyDescent="0.25">
      <c r="A26" s="41" t="s">
        <v>103</v>
      </c>
      <c r="B26" s="63">
        <v>2249261.0980000002</v>
      </c>
      <c r="C26" s="63">
        <v>6122672.2039999999</v>
      </c>
      <c r="D26" s="118">
        <v>126.651</v>
      </c>
      <c r="E26" s="58" t="s">
        <v>118</v>
      </c>
      <c r="F26" s="27" t="s">
        <v>100</v>
      </c>
      <c r="G26" s="27" t="s">
        <v>100</v>
      </c>
      <c r="H26" s="27" t="s">
        <v>100</v>
      </c>
      <c r="I26" s="27" t="s">
        <v>100</v>
      </c>
      <c r="J26" s="27" t="s">
        <v>100</v>
      </c>
      <c r="K26" s="27" t="s">
        <v>100</v>
      </c>
      <c r="L26" s="27" t="s">
        <v>100</v>
      </c>
      <c r="M26" s="60" t="s">
        <v>100</v>
      </c>
      <c r="N26" s="27" t="s">
        <v>100</v>
      </c>
      <c r="O26" s="60" t="s">
        <v>100</v>
      </c>
      <c r="P26" s="60" t="s">
        <v>100</v>
      </c>
      <c r="Q26" s="60" t="s">
        <v>100</v>
      </c>
      <c r="R26" s="60" t="s">
        <v>100</v>
      </c>
      <c r="S26" s="60" t="s">
        <v>100</v>
      </c>
      <c r="T26" s="60">
        <v>127.02200000000001</v>
      </c>
      <c r="U26" s="60">
        <v>126.93899999999999</v>
      </c>
      <c r="V26" s="71">
        <v>126.866</v>
      </c>
      <c r="W26" s="71">
        <f t="shared" si="0"/>
        <v>126.651</v>
      </c>
      <c r="X26" s="89" t="s">
        <v>100</v>
      </c>
      <c r="Y26" s="27" t="s">
        <v>100</v>
      </c>
      <c r="Z26" s="29" t="s">
        <v>100</v>
      </c>
      <c r="AA26" s="62" t="s">
        <v>100</v>
      </c>
      <c r="AB26" s="62" t="s">
        <v>100</v>
      </c>
      <c r="AC26" s="62" t="s">
        <v>100</v>
      </c>
      <c r="AD26" s="62"/>
      <c r="AE26" s="62">
        <f t="shared" ref="AE26:AE32" si="23">V26-T26</f>
        <v>-0.15600000000000591</v>
      </c>
      <c r="AF26" s="81">
        <f t="shared" ref="AF26" si="24">W26-V26</f>
        <v>-0.21500000000000341</v>
      </c>
      <c r="AG26" s="81">
        <f>(W26-T26)/2</f>
        <v>-0.18550000000000466</v>
      </c>
      <c r="AH26" s="45" t="s">
        <v>100</v>
      </c>
      <c r="AI26" s="29" t="s">
        <v>100</v>
      </c>
      <c r="AJ26" s="62" t="s">
        <v>100</v>
      </c>
      <c r="AK26" s="62" t="s">
        <v>100</v>
      </c>
      <c r="AL26" s="62" t="s">
        <v>100</v>
      </c>
      <c r="AM26" s="62" t="s">
        <v>100</v>
      </c>
      <c r="AN26" s="62" t="s">
        <v>100</v>
      </c>
      <c r="AO26" s="62" t="s">
        <v>100</v>
      </c>
      <c r="AP26" s="62">
        <f>V26-U26</f>
        <v>-7.2999999999993292E-2</v>
      </c>
      <c r="AQ26" s="62">
        <f t="shared" si="4"/>
        <v>-0.2879999999999967</v>
      </c>
    </row>
    <row r="27" spans="1:43" x14ac:dyDescent="0.25">
      <c r="A27" s="3">
        <v>133</v>
      </c>
      <c r="B27" s="60">
        <v>2273311.3259999999</v>
      </c>
      <c r="C27" s="108">
        <v>6111332.1639999999</v>
      </c>
      <c r="D27" s="60">
        <v>118.884</v>
      </c>
      <c r="E27" s="58" t="s">
        <v>12</v>
      </c>
      <c r="F27" s="27">
        <v>122.277</v>
      </c>
      <c r="G27" s="27">
        <v>122.158</v>
      </c>
      <c r="H27" s="27">
        <v>121.943</v>
      </c>
      <c r="I27" s="27">
        <v>121.664</v>
      </c>
      <c r="J27" s="27">
        <v>121.33</v>
      </c>
      <c r="K27" s="27">
        <v>121.255</v>
      </c>
      <c r="L27" s="27">
        <v>121.07</v>
      </c>
      <c r="M27" s="60">
        <v>120.70399999999999</v>
      </c>
      <c r="N27" s="27">
        <v>120.44</v>
      </c>
      <c r="O27" s="60">
        <v>120.389</v>
      </c>
      <c r="P27" s="60">
        <v>120</v>
      </c>
      <c r="Q27" s="60">
        <v>119.905</v>
      </c>
      <c r="R27" s="60">
        <v>119.82</v>
      </c>
      <c r="S27" s="60">
        <v>119.58199999999999</v>
      </c>
      <c r="T27" s="60">
        <v>119.517</v>
      </c>
      <c r="U27" s="60">
        <v>119.389</v>
      </c>
      <c r="V27" s="71">
        <v>119.27800000000001</v>
      </c>
      <c r="W27" s="71">
        <f t="shared" si="0"/>
        <v>118.884</v>
      </c>
      <c r="X27" s="89">
        <f t="shared" ref="X27:X35" si="25">H27-F27</f>
        <v>-0.33400000000000318</v>
      </c>
      <c r="Y27" s="27">
        <f t="shared" ref="Y27:Y35" si="26">J27-H27</f>
        <v>-0.61299999999999955</v>
      </c>
      <c r="Z27" s="29">
        <f t="shared" ref="Z27:Z52" si="27">L27-J27</f>
        <v>-0.26000000000000512</v>
      </c>
      <c r="AA27" s="62">
        <f t="shared" ref="AA27:AA52" si="28">N27-L27</f>
        <v>-0.62999999999999545</v>
      </c>
      <c r="AB27" s="62">
        <f t="shared" ref="AB27:AB52" si="29">P27-N27</f>
        <v>-0.43999999999999773</v>
      </c>
      <c r="AC27" s="62">
        <f>R27-P27</f>
        <v>-0.18000000000000682</v>
      </c>
      <c r="AD27" s="62">
        <f>T27-R27</f>
        <v>-0.30299999999999727</v>
      </c>
      <c r="AE27" s="62">
        <f t="shared" si="23"/>
        <v>-0.23899999999999011</v>
      </c>
      <c r="AF27" s="71">
        <f t="shared" si="3"/>
        <v>-0.39400000000000546</v>
      </c>
      <c r="AG27" s="71">
        <f>(W27-F27)/9</f>
        <v>-0.37700000000000006</v>
      </c>
      <c r="AH27" s="45">
        <f t="shared" ref="AH27:AH35" si="30">I27-G27</f>
        <v>-0.49399999999999977</v>
      </c>
      <c r="AI27" s="29">
        <f t="shared" ref="AI27:AI35" si="31">K27-I27</f>
        <v>-0.40900000000000603</v>
      </c>
      <c r="AJ27" s="62">
        <f t="shared" ref="AJ27:AJ52" si="32">M27-K27</f>
        <v>-0.55100000000000193</v>
      </c>
      <c r="AK27" s="62">
        <f t="shared" ref="AK27:AK52" si="33">O27-M27</f>
        <v>-0.31499999999999773</v>
      </c>
      <c r="AL27" s="62">
        <f>Q27-O27</f>
        <v>-0.48399999999999466</v>
      </c>
      <c r="AM27" s="62">
        <f>S27-Q27</f>
        <v>-0.3230000000000075</v>
      </c>
      <c r="AN27" s="62">
        <f>U27-S27</f>
        <v>-0.19299999999999784</v>
      </c>
      <c r="AO27" s="62">
        <f>(U27-$G27)/7</f>
        <v>-0.39557142857142935</v>
      </c>
      <c r="AP27" s="62">
        <f>V27-U27</f>
        <v>-0.11099999999999</v>
      </c>
      <c r="AQ27" s="62">
        <f t="shared" si="4"/>
        <v>-0.50499999999999545</v>
      </c>
    </row>
    <row r="28" spans="1:43" x14ac:dyDescent="0.25">
      <c r="A28" s="77">
        <v>134</v>
      </c>
      <c r="B28" s="120" t="s">
        <v>104</v>
      </c>
      <c r="C28" s="120"/>
      <c r="D28" s="133"/>
      <c r="E28" s="58" t="s">
        <v>98</v>
      </c>
      <c r="F28" s="27">
        <v>289.99900000000002</v>
      </c>
      <c r="G28" s="27">
        <v>289.94099999999997</v>
      </c>
      <c r="H28" s="27">
        <v>289.92399999999998</v>
      </c>
      <c r="I28" s="27">
        <v>289.839</v>
      </c>
      <c r="J28" s="27">
        <v>289.92</v>
      </c>
      <c r="K28" s="27">
        <v>290.01799999999997</v>
      </c>
      <c r="L28" s="27">
        <v>289.964</v>
      </c>
      <c r="M28" s="60">
        <v>289.887</v>
      </c>
      <c r="N28" s="27">
        <v>289.98599999999999</v>
      </c>
      <c r="O28" s="60">
        <v>289.89999999999998</v>
      </c>
      <c r="P28" s="60">
        <v>289.90300000000002</v>
      </c>
      <c r="Q28" s="60">
        <v>288.87900000000002</v>
      </c>
      <c r="R28" s="113"/>
      <c r="S28" s="113"/>
      <c r="T28" s="113"/>
      <c r="U28" s="113"/>
      <c r="V28" s="113"/>
      <c r="W28" s="113"/>
      <c r="X28" s="89">
        <f t="shared" si="25"/>
        <v>-7.5000000000045475E-2</v>
      </c>
      <c r="Y28" s="27">
        <f t="shared" si="26"/>
        <v>-3.999999999962256E-3</v>
      </c>
      <c r="Z28" s="29">
        <f t="shared" si="27"/>
        <v>4.399999999998272E-2</v>
      </c>
      <c r="AA28" s="62">
        <f t="shared" si="28"/>
        <v>2.199999999999136E-2</v>
      </c>
      <c r="AB28" s="62">
        <f t="shared" si="29"/>
        <v>-8.2999999999969987E-2</v>
      </c>
      <c r="AC28" s="117" t="s">
        <v>100</v>
      </c>
      <c r="AD28" s="117"/>
      <c r="AE28" s="117"/>
      <c r="AF28" s="113"/>
      <c r="AG28" s="113" t="s">
        <v>100</v>
      </c>
      <c r="AH28" s="45">
        <f t="shared" si="30"/>
        <v>-0.10199999999997544</v>
      </c>
      <c r="AI28" s="29">
        <f t="shared" si="31"/>
        <v>0.17899999999997362</v>
      </c>
      <c r="AJ28" s="62">
        <f t="shared" si="32"/>
        <v>-0.13099999999997181</v>
      </c>
      <c r="AK28" s="62">
        <f t="shared" si="33"/>
        <v>1.2999999999976808E-2</v>
      </c>
      <c r="AL28" s="117"/>
      <c r="AM28" s="117"/>
      <c r="AN28" s="117" t="s">
        <v>100</v>
      </c>
      <c r="AO28" s="117"/>
      <c r="AP28" s="117"/>
      <c r="AQ28" s="117"/>
    </row>
    <row r="29" spans="1:43" x14ac:dyDescent="0.25">
      <c r="A29" s="3">
        <v>135</v>
      </c>
      <c r="B29" s="60">
        <v>2280213.4270000001</v>
      </c>
      <c r="C29" s="60">
        <v>6203601.8930000002</v>
      </c>
      <c r="D29" s="60">
        <v>233.845</v>
      </c>
      <c r="E29" s="58" t="s">
        <v>49</v>
      </c>
      <c r="F29" s="27">
        <v>236.71799999999999</v>
      </c>
      <c r="G29" s="27">
        <v>236.596</v>
      </c>
      <c r="H29" s="27">
        <v>236.54300000000001</v>
      </c>
      <c r="I29" s="27">
        <v>236.38300000000001</v>
      </c>
      <c r="J29" s="27">
        <v>236.27</v>
      </c>
      <c r="K29" s="27">
        <v>235.85300000000001</v>
      </c>
      <c r="L29" s="27">
        <v>235.74100000000001</v>
      </c>
      <c r="M29" s="60">
        <v>235.32599999999999</v>
      </c>
      <c r="N29" s="27">
        <v>235.1</v>
      </c>
      <c r="O29" s="60">
        <v>234.98699999999999</v>
      </c>
      <c r="P29" s="60">
        <v>234.84100000000001</v>
      </c>
      <c r="Q29" s="60">
        <v>234.703</v>
      </c>
      <c r="R29" s="60">
        <v>234.65</v>
      </c>
      <c r="S29" s="60">
        <v>234.53299999999999</v>
      </c>
      <c r="T29" s="60">
        <v>234.27600000000001</v>
      </c>
      <c r="U29" s="60">
        <v>234.22200000000001</v>
      </c>
      <c r="V29" s="71">
        <v>234.13300000000001</v>
      </c>
      <c r="W29" s="71">
        <f t="shared" si="0"/>
        <v>233.845</v>
      </c>
      <c r="X29" s="89">
        <f t="shared" si="25"/>
        <v>-0.17499999999998295</v>
      </c>
      <c r="Y29" s="27">
        <f t="shared" si="26"/>
        <v>-0.27299999999999613</v>
      </c>
      <c r="Z29" s="29">
        <f t="shared" si="27"/>
        <v>-0.52899999999999636</v>
      </c>
      <c r="AA29" s="62">
        <f t="shared" si="28"/>
        <v>-0.64100000000001955</v>
      </c>
      <c r="AB29" s="62">
        <f t="shared" si="29"/>
        <v>-0.25899999999998613</v>
      </c>
      <c r="AC29" s="62">
        <f>R29-P29</f>
        <v>-0.1910000000000025</v>
      </c>
      <c r="AD29" s="62">
        <f>T29-R29</f>
        <v>-0.37399999999999523</v>
      </c>
      <c r="AE29" s="62">
        <f t="shared" si="23"/>
        <v>-0.14300000000000068</v>
      </c>
      <c r="AF29" s="71">
        <f t="shared" si="3"/>
        <v>-0.28800000000001091</v>
      </c>
      <c r="AG29" s="71">
        <f>(W29-F29)/9</f>
        <v>-0.31922222222222119</v>
      </c>
      <c r="AH29" s="45">
        <f t="shared" si="30"/>
        <v>-0.21299999999999386</v>
      </c>
      <c r="AI29" s="29">
        <f t="shared" si="31"/>
        <v>-0.53000000000000114</v>
      </c>
      <c r="AJ29" s="62">
        <f t="shared" si="32"/>
        <v>-0.52700000000001523</v>
      </c>
      <c r="AK29" s="62">
        <f t="shared" si="33"/>
        <v>-0.33899999999999864</v>
      </c>
      <c r="AL29" s="62">
        <f>Q29-O29</f>
        <v>-0.28399999999999181</v>
      </c>
      <c r="AM29" s="62">
        <f>S29-Q29</f>
        <v>-0.17000000000001592</v>
      </c>
      <c r="AN29" s="62">
        <f>U29-S29</f>
        <v>-0.31099999999997863</v>
      </c>
      <c r="AO29" s="62">
        <f>(U29-$G29)/7</f>
        <v>-0.33914285714285647</v>
      </c>
      <c r="AP29" s="62">
        <f>V29-U29</f>
        <v>-8.8999999999998636E-2</v>
      </c>
      <c r="AQ29" s="62">
        <f t="shared" si="4"/>
        <v>-0.37700000000000955</v>
      </c>
    </row>
    <row r="30" spans="1:43" x14ac:dyDescent="0.25">
      <c r="A30" s="3">
        <v>137</v>
      </c>
      <c r="B30" s="60">
        <v>2271706.3420000002</v>
      </c>
      <c r="C30" s="60">
        <v>6053044.1449999996</v>
      </c>
      <c r="D30" s="60">
        <v>100.078</v>
      </c>
      <c r="E30" s="58" t="s">
        <v>50</v>
      </c>
      <c r="F30" s="27">
        <v>101.04900000000001</v>
      </c>
      <c r="G30" s="27">
        <v>101.02800000000001</v>
      </c>
      <c r="H30" s="27">
        <v>100.96</v>
      </c>
      <c r="I30" s="27">
        <v>100.9</v>
      </c>
      <c r="J30" s="27">
        <v>100.87</v>
      </c>
      <c r="K30" s="27">
        <v>100.746</v>
      </c>
      <c r="L30" s="27">
        <v>100.66800000000001</v>
      </c>
      <c r="M30" s="60">
        <v>100.64</v>
      </c>
      <c r="N30" s="27">
        <v>100.548</v>
      </c>
      <c r="O30" s="60">
        <v>100.467</v>
      </c>
      <c r="P30" s="60">
        <v>100.435</v>
      </c>
      <c r="Q30" s="60">
        <v>100.42400000000001</v>
      </c>
      <c r="R30" s="60">
        <v>100.37</v>
      </c>
      <c r="S30" s="60">
        <v>100.265</v>
      </c>
      <c r="T30" s="60">
        <v>100.288</v>
      </c>
      <c r="U30" s="60">
        <v>100.211</v>
      </c>
      <c r="V30" s="71">
        <v>100.197</v>
      </c>
      <c r="W30" s="71">
        <f t="shared" si="0"/>
        <v>100.078</v>
      </c>
      <c r="X30" s="89">
        <f t="shared" si="25"/>
        <v>-8.9000000000012847E-2</v>
      </c>
      <c r="Y30" s="27">
        <f t="shared" si="26"/>
        <v>-8.99999999999892E-2</v>
      </c>
      <c r="Z30" s="29">
        <f t="shared" si="27"/>
        <v>-0.20199999999999818</v>
      </c>
      <c r="AA30" s="62">
        <f t="shared" si="28"/>
        <v>-0.12000000000000455</v>
      </c>
      <c r="AB30" s="62">
        <f t="shared" si="29"/>
        <v>-0.11299999999999955</v>
      </c>
      <c r="AC30" s="62">
        <f>R30-P30</f>
        <v>-6.4999999999997726E-2</v>
      </c>
      <c r="AD30" s="62">
        <f>T30-R30</f>
        <v>-8.2000000000007844E-2</v>
      </c>
      <c r="AE30" s="62">
        <f t="shared" si="23"/>
        <v>-9.0999999999993975E-2</v>
      </c>
      <c r="AF30" s="71">
        <f t="shared" si="3"/>
        <v>-0.11899999999999977</v>
      </c>
      <c r="AG30" s="71">
        <f t="shared" ref="AG30:AG35" si="34">(W30-F30)/9</f>
        <v>-0.1078888888888893</v>
      </c>
      <c r="AH30" s="45">
        <f t="shared" si="30"/>
        <v>-0.12800000000000011</v>
      </c>
      <c r="AI30" s="29">
        <f t="shared" si="31"/>
        <v>-0.15400000000001057</v>
      </c>
      <c r="AJ30" s="62">
        <f t="shared" si="32"/>
        <v>-0.10599999999999454</v>
      </c>
      <c r="AK30" s="62">
        <f t="shared" si="33"/>
        <v>-0.17300000000000182</v>
      </c>
      <c r="AL30" s="62">
        <f>Q30-O30</f>
        <v>-4.2999999999992156E-2</v>
      </c>
      <c r="AM30" s="62">
        <f>S30-Q30</f>
        <v>-0.15900000000000603</v>
      </c>
      <c r="AN30" s="62">
        <f>U30-S30</f>
        <v>-5.4000000000002046E-2</v>
      </c>
      <c r="AO30" s="62">
        <f>(U30-$G30)/7</f>
        <v>-0.11671428571428676</v>
      </c>
      <c r="AP30" s="62">
        <f>V30-U30</f>
        <v>-1.3999999999995794E-2</v>
      </c>
      <c r="AQ30" s="62">
        <f t="shared" si="4"/>
        <v>-0.13299999999999557</v>
      </c>
    </row>
    <row r="31" spans="1:43" x14ac:dyDescent="0.25">
      <c r="A31" s="3">
        <v>138</v>
      </c>
      <c r="B31" s="60">
        <v>2423374.0049999999</v>
      </c>
      <c r="C31" s="60">
        <v>5929562.8839999996</v>
      </c>
      <c r="D31" s="60">
        <v>238.93700000000001</v>
      </c>
      <c r="E31" s="58" t="s">
        <v>13</v>
      </c>
      <c r="F31" s="27">
        <v>239.114</v>
      </c>
      <c r="G31" s="27">
        <v>239.11</v>
      </c>
      <c r="H31" s="27">
        <v>239.07400000000001</v>
      </c>
      <c r="I31" s="27">
        <v>239.006</v>
      </c>
      <c r="J31" s="27">
        <v>238.86</v>
      </c>
      <c r="K31" s="27">
        <v>239.268</v>
      </c>
      <c r="L31" s="27">
        <v>239.10400000000001</v>
      </c>
      <c r="M31" s="60">
        <v>239.08500000000001</v>
      </c>
      <c r="N31" s="27">
        <v>238.96199999999999</v>
      </c>
      <c r="O31" s="60">
        <v>239.11799999999999</v>
      </c>
      <c r="P31" s="60">
        <v>239.06299999999999</v>
      </c>
      <c r="Q31" s="60">
        <v>239.24</v>
      </c>
      <c r="R31" s="60">
        <v>238.97</v>
      </c>
      <c r="S31" s="60">
        <v>238.852</v>
      </c>
      <c r="T31" s="60">
        <v>238.96700000000001</v>
      </c>
      <c r="U31" s="60">
        <v>238.953</v>
      </c>
      <c r="V31" s="71">
        <v>239.18199999999999</v>
      </c>
      <c r="W31" s="71">
        <f t="shared" si="0"/>
        <v>238.93700000000001</v>
      </c>
      <c r="X31" s="89">
        <f t="shared" si="25"/>
        <v>-3.9999999999992042E-2</v>
      </c>
      <c r="Y31" s="27">
        <f t="shared" si="26"/>
        <v>-0.21399999999999864</v>
      </c>
      <c r="Z31" s="29">
        <f t="shared" si="27"/>
        <v>0.24399999999999977</v>
      </c>
      <c r="AA31" s="62">
        <f t="shared" si="28"/>
        <v>-0.14200000000002433</v>
      </c>
      <c r="AB31" s="62">
        <f t="shared" si="29"/>
        <v>0.10099999999999909</v>
      </c>
      <c r="AC31" s="62">
        <f>R31-P31</f>
        <v>-9.2999999999989313E-2</v>
      </c>
      <c r="AD31" s="62">
        <f>T31-R31</f>
        <v>-2.9999999999859028E-3</v>
      </c>
      <c r="AE31" s="62">
        <f t="shared" si="23"/>
        <v>0.21499999999997499</v>
      </c>
      <c r="AF31" s="71">
        <f t="shared" si="3"/>
        <v>-0.24499999999997613</v>
      </c>
      <c r="AG31" s="71">
        <f t="shared" si="34"/>
        <v>-1.9666666666665833E-2</v>
      </c>
      <c r="AH31" s="45">
        <f t="shared" si="30"/>
        <v>-0.10400000000001342</v>
      </c>
      <c r="AI31" s="29">
        <f t="shared" si="31"/>
        <v>0.26200000000000045</v>
      </c>
      <c r="AJ31" s="62">
        <f t="shared" si="32"/>
        <v>-0.18299999999999272</v>
      </c>
      <c r="AK31" s="62">
        <f t="shared" si="33"/>
        <v>3.299999999998704E-2</v>
      </c>
      <c r="AL31" s="62">
        <f>Q31-O31</f>
        <v>0.1220000000000141</v>
      </c>
      <c r="AM31" s="62">
        <f>S31-Q31</f>
        <v>-0.38800000000000523</v>
      </c>
      <c r="AN31" s="62">
        <f>U31-S31</f>
        <v>0.10099999999999909</v>
      </c>
      <c r="AO31" s="62">
        <f>(U31-$G31)/7</f>
        <v>-2.2428571428572956E-2</v>
      </c>
      <c r="AP31" s="30">
        <f>V31-U31</f>
        <v>0.22899999999998499</v>
      </c>
      <c r="AQ31" s="30">
        <f t="shared" si="4"/>
        <v>-1.5999999999991132E-2</v>
      </c>
    </row>
    <row r="32" spans="1:43" x14ac:dyDescent="0.25">
      <c r="A32" s="3">
        <v>139</v>
      </c>
      <c r="B32" s="60">
        <v>2099649.7239999999</v>
      </c>
      <c r="C32" s="60">
        <v>6250235.0920000002</v>
      </c>
      <c r="D32" s="60">
        <v>185.23400000000001</v>
      </c>
      <c r="E32" s="58" t="s">
        <v>14</v>
      </c>
      <c r="F32" s="27">
        <v>186.98500000000001</v>
      </c>
      <c r="G32" s="27">
        <v>186.81399999999999</v>
      </c>
      <c r="H32" s="27">
        <v>186.88900000000001</v>
      </c>
      <c r="I32" s="27">
        <v>186.63900000000001</v>
      </c>
      <c r="J32" s="27">
        <v>186.56</v>
      </c>
      <c r="K32" s="27">
        <v>186.334</v>
      </c>
      <c r="L32" s="27">
        <v>186.32400000000001</v>
      </c>
      <c r="M32" s="60">
        <v>186.083</v>
      </c>
      <c r="N32" s="27">
        <v>186.08799999999999</v>
      </c>
      <c r="O32" s="60">
        <v>185.74299999999999</v>
      </c>
      <c r="P32" s="60">
        <v>185.762</v>
      </c>
      <c r="Q32" s="60">
        <v>185.631</v>
      </c>
      <c r="R32" s="60">
        <v>185.65</v>
      </c>
      <c r="S32" s="60">
        <v>185.59399999999999</v>
      </c>
      <c r="T32" s="60">
        <v>185.554</v>
      </c>
      <c r="U32" s="60">
        <v>185.405</v>
      </c>
      <c r="V32" s="71">
        <v>185.31100000000001</v>
      </c>
      <c r="W32" s="71">
        <f t="shared" si="0"/>
        <v>185.23400000000001</v>
      </c>
      <c r="X32" s="89">
        <f t="shared" si="25"/>
        <v>-9.6000000000003638E-2</v>
      </c>
      <c r="Y32" s="27">
        <f t="shared" si="26"/>
        <v>-0.32900000000000773</v>
      </c>
      <c r="Z32" s="29">
        <f t="shared" si="27"/>
        <v>-0.23599999999999</v>
      </c>
      <c r="AA32" s="62">
        <f t="shared" si="28"/>
        <v>-0.23600000000001842</v>
      </c>
      <c r="AB32" s="62">
        <f t="shared" si="29"/>
        <v>-0.32599999999999341</v>
      </c>
      <c r="AC32" s="62">
        <f>R32-P32</f>
        <v>-0.11199999999999477</v>
      </c>
      <c r="AD32" s="62">
        <f>T32-R32</f>
        <v>-9.6000000000003638E-2</v>
      </c>
      <c r="AE32" s="62">
        <f t="shared" si="23"/>
        <v>-0.242999999999995</v>
      </c>
      <c r="AF32" s="71">
        <f t="shared" si="3"/>
        <v>-7.6999999999998181E-2</v>
      </c>
      <c r="AG32" s="71">
        <f t="shared" si="34"/>
        <v>-0.19455555555555609</v>
      </c>
      <c r="AH32" s="45">
        <f t="shared" si="30"/>
        <v>-0.17499999999998295</v>
      </c>
      <c r="AI32" s="29">
        <f t="shared" si="31"/>
        <v>-0.30500000000000682</v>
      </c>
      <c r="AJ32" s="62">
        <f t="shared" si="32"/>
        <v>-0.25100000000000477</v>
      </c>
      <c r="AK32" s="62">
        <f t="shared" si="33"/>
        <v>-0.34000000000000341</v>
      </c>
      <c r="AL32" s="62">
        <f>Q32-O32</f>
        <v>-0.11199999999999477</v>
      </c>
      <c r="AM32" s="62">
        <f>S32-Q32</f>
        <v>-3.7000000000006139E-2</v>
      </c>
      <c r="AN32" s="62">
        <f>U32-S32</f>
        <v>-0.18899999999999295</v>
      </c>
      <c r="AO32" s="62">
        <f>(U32-$G32)/7</f>
        <v>-0.20128571428571312</v>
      </c>
      <c r="AP32" s="62">
        <f>V32-U32</f>
        <v>-9.3999999999994088E-2</v>
      </c>
      <c r="AQ32" s="62">
        <f t="shared" si="4"/>
        <v>-0.17099999999999227</v>
      </c>
    </row>
    <row r="33" spans="1:43" x14ac:dyDescent="0.25">
      <c r="A33" s="77">
        <v>140</v>
      </c>
      <c r="B33" s="120" t="s">
        <v>104</v>
      </c>
      <c r="C33" s="120"/>
      <c r="D33" s="120"/>
      <c r="E33" s="58" t="s">
        <v>15</v>
      </c>
      <c r="F33" s="27">
        <v>292.40800000000002</v>
      </c>
      <c r="G33" s="27">
        <v>292.33800000000002</v>
      </c>
      <c r="H33" s="27">
        <v>292.40800000000002</v>
      </c>
      <c r="I33" s="27">
        <v>292.31599999999997</v>
      </c>
      <c r="J33" s="27">
        <v>292.37</v>
      </c>
      <c r="K33" s="27">
        <v>292.39800000000002</v>
      </c>
      <c r="L33" s="27">
        <v>292.36399999999998</v>
      </c>
      <c r="M33" s="60">
        <v>292.23899999999998</v>
      </c>
      <c r="N33" s="27">
        <v>292.358</v>
      </c>
      <c r="O33" s="60">
        <v>292.22500000000002</v>
      </c>
      <c r="P33" s="60">
        <v>292.27999999999997</v>
      </c>
      <c r="Q33" s="60">
        <v>293.51799999999997</v>
      </c>
      <c r="R33" s="113"/>
      <c r="S33" s="113"/>
      <c r="T33" s="113"/>
      <c r="U33" s="113"/>
      <c r="V33" s="113"/>
      <c r="W33" s="113"/>
      <c r="X33" s="89">
        <f t="shared" si="25"/>
        <v>0</v>
      </c>
      <c r="Y33" s="27">
        <f t="shared" si="26"/>
        <v>-3.8000000000010914E-2</v>
      </c>
      <c r="Z33" s="29">
        <f t="shared" si="27"/>
        <v>-6.0000000000286491E-3</v>
      </c>
      <c r="AA33" s="62">
        <f t="shared" si="28"/>
        <v>-5.9999999999718057E-3</v>
      </c>
      <c r="AB33" s="62">
        <f t="shared" si="29"/>
        <v>-7.8000000000031378E-2</v>
      </c>
      <c r="AC33" s="117" t="s">
        <v>100</v>
      </c>
      <c r="AD33" s="117"/>
      <c r="AE33" s="117"/>
      <c r="AF33" s="113"/>
      <c r="AG33" s="113" t="s">
        <v>100</v>
      </c>
      <c r="AH33" s="45">
        <f t="shared" si="30"/>
        <v>-2.2000000000048203E-2</v>
      </c>
      <c r="AI33" s="29">
        <f t="shared" si="31"/>
        <v>8.2000000000050477E-2</v>
      </c>
      <c r="AJ33" s="62">
        <f t="shared" si="32"/>
        <v>-0.15900000000004866</v>
      </c>
      <c r="AK33" s="62">
        <f t="shared" si="33"/>
        <v>-1.3999999999953161E-2</v>
      </c>
      <c r="AL33" s="117"/>
      <c r="AM33" s="117"/>
      <c r="AN33" s="117" t="s">
        <v>100</v>
      </c>
      <c r="AO33" s="117"/>
      <c r="AP33" s="117"/>
      <c r="AQ33" s="117"/>
    </row>
    <row r="34" spans="1:43" x14ac:dyDescent="0.25">
      <c r="A34" s="3">
        <v>141</v>
      </c>
      <c r="B34" s="60">
        <v>2207496.7310000001</v>
      </c>
      <c r="C34" s="60">
        <v>6274591.7750000004</v>
      </c>
      <c r="D34" s="60">
        <v>284.714</v>
      </c>
      <c r="E34" s="58" t="s">
        <v>63</v>
      </c>
      <c r="F34" s="27">
        <v>285.40899999999999</v>
      </c>
      <c r="G34" s="27">
        <v>285.28699999999998</v>
      </c>
      <c r="H34" s="27">
        <v>285.29199999999997</v>
      </c>
      <c r="I34" s="27">
        <v>285.26799999999997</v>
      </c>
      <c r="J34" s="27">
        <v>285.24</v>
      </c>
      <c r="K34" s="27">
        <v>285.15699999999998</v>
      </c>
      <c r="L34" s="27">
        <v>285.18900000000002</v>
      </c>
      <c r="M34" s="60">
        <v>285.11399999999998</v>
      </c>
      <c r="N34" s="27">
        <v>285.12</v>
      </c>
      <c r="O34" s="60">
        <v>284.99700000000001</v>
      </c>
      <c r="P34" s="60">
        <v>285.03899999999999</v>
      </c>
      <c r="Q34" s="60">
        <v>284.96300000000002</v>
      </c>
      <c r="R34" s="60">
        <v>284.97000000000003</v>
      </c>
      <c r="S34" s="60">
        <v>284.91199999999998</v>
      </c>
      <c r="T34" s="60">
        <v>284.85300000000001</v>
      </c>
      <c r="U34" s="60">
        <v>284.83699999999999</v>
      </c>
      <c r="V34" s="71">
        <v>284.75400000000002</v>
      </c>
      <c r="W34" s="71">
        <f t="shared" si="0"/>
        <v>284.714</v>
      </c>
      <c r="X34" s="89">
        <f t="shared" si="25"/>
        <v>-0.11700000000001864</v>
      </c>
      <c r="Y34" s="27">
        <f t="shared" si="26"/>
        <v>-5.1999999999964075E-2</v>
      </c>
      <c r="Z34" s="29">
        <f t="shared" si="27"/>
        <v>-5.0999999999987722E-2</v>
      </c>
      <c r="AA34" s="62">
        <f t="shared" si="28"/>
        <v>-6.9000000000016826E-2</v>
      </c>
      <c r="AB34" s="62">
        <f t="shared" si="29"/>
        <v>-8.100000000001728E-2</v>
      </c>
      <c r="AC34" s="62">
        <f t="shared" ref="AC34:AC52" si="35">R34-P34</f>
        <v>-6.8999999999959982E-2</v>
      </c>
      <c r="AD34" s="62">
        <f t="shared" ref="AD34:AD62" si="36">T34-R34</f>
        <v>-0.11700000000001864</v>
      </c>
      <c r="AE34" s="62">
        <f t="shared" ref="AE34:AE62" si="37">V34-T34</f>
        <v>-9.8999999999989541E-2</v>
      </c>
      <c r="AF34" s="71">
        <f t="shared" si="3"/>
        <v>-4.0000000000020464E-2</v>
      </c>
      <c r="AG34" s="71">
        <f t="shared" si="34"/>
        <v>-7.722222222222147E-2</v>
      </c>
      <c r="AH34" s="45">
        <f t="shared" si="30"/>
        <v>-1.9000000000005457E-2</v>
      </c>
      <c r="AI34" s="29">
        <f t="shared" si="31"/>
        <v>-0.11099999999999</v>
      </c>
      <c r="AJ34" s="62">
        <f t="shared" si="32"/>
        <v>-4.3000000000006366E-2</v>
      </c>
      <c r="AK34" s="62">
        <f t="shared" si="33"/>
        <v>-0.1169999999999618</v>
      </c>
      <c r="AL34" s="62">
        <f t="shared" ref="AL34:AL52" si="38">Q34-O34</f>
        <v>-3.3999999999991815E-2</v>
      </c>
      <c r="AM34" s="62">
        <f t="shared" ref="AM34:AM52" si="39">S34-Q34</f>
        <v>-5.1000000000044565E-2</v>
      </c>
      <c r="AN34" s="62">
        <f t="shared" ref="AN34:AN65" si="40">U34-S34</f>
        <v>-7.4999999999988631E-2</v>
      </c>
      <c r="AO34" s="62">
        <f>(U34-$G34)/7</f>
        <v>-6.4285714285712656E-2</v>
      </c>
      <c r="AP34" s="62">
        <f t="shared" ref="AP34:AP73" si="41">V34-U34</f>
        <v>-8.2999999999969987E-2</v>
      </c>
      <c r="AQ34" s="62">
        <f t="shared" si="4"/>
        <v>-0.12299999999999045</v>
      </c>
    </row>
    <row r="35" spans="1:43" x14ac:dyDescent="0.25">
      <c r="A35" s="3">
        <v>142</v>
      </c>
      <c r="B35" s="60">
        <v>2239184.25</v>
      </c>
      <c r="C35" s="60">
        <v>6329798.0049999999</v>
      </c>
      <c r="D35" s="60">
        <v>430.34500000000003</v>
      </c>
      <c r="E35" s="58" t="s">
        <v>51</v>
      </c>
      <c r="F35" s="27">
        <v>430.39600000000002</v>
      </c>
      <c r="G35" s="27">
        <v>430.37799999999999</v>
      </c>
      <c r="H35" s="27">
        <v>430.30799999999999</v>
      </c>
      <c r="I35" s="27">
        <v>430.30799999999999</v>
      </c>
      <c r="J35" s="27">
        <v>430.36</v>
      </c>
      <c r="K35" s="27">
        <v>430.38299999999998</v>
      </c>
      <c r="L35" s="27">
        <v>430.28100000000001</v>
      </c>
      <c r="M35" s="60">
        <v>430.41300000000001</v>
      </c>
      <c r="N35" s="27">
        <v>430.42700000000002</v>
      </c>
      <c r="O35" s="60">
        <v>430.38900000000001</v>
      </c>
      <c r="P35" s="60">
        <v>430.38799999999998</v>
      </c>
      <c r="Q35" s="60">
        <v>430.41500000000002</v>
      </c>
      <c r="R35" s="60">
        <v>430.37</v>
      </c>
      <c r="S35" s="60">
        <v>430.34699999999998</v>
      </c>
      <c r="T35" s="60">
        <v>430.32100000000003</v>
      </c>
      <c r="U35" s="60">
        <v>430.351</v>
      </c>
      <c r="V35" s="71">
        <v>430.31599999999997</v>
      </c>
      <c r="W35" s="71">
        <f t="shared" si="0"/>
        <v>430.34500000000003</v>
      </c>
      <c r="X35" s="89">
        <f t="shared" si="25"/>
        <v>-8.8000000000022283E-2</v>
      </c>
      <c r="Y35" s="27">
        <f t="shared" si="26"/>
        <v>5.2000000000020918E-2</v>
      </c>
      <c r="Z35" s="29">
        <f t="shared" si="27"/>
        <v>-7.9000000000007731E-2</v>
      </c>
      <c r="AA35" s="62">
        <f t="shared" si="28"/>
        <v>0.14600000000001501</v>
      </c>
      <c r="AB35" s="62">
        <f t="shared" si="29"/>
        <v>-3.900000000004411E-2</v>
      </c>
      <c r="AC35" s="62">
        <f t="shared" si="35"/>
        <v>-1.799999999997226E-2</v>
      </c>
      <c r="AD35" s="62">
        <f t="shared" si="36"/>
        <v>-4.8999999999978172E-2</v>
      </c>
      <c r="AE35" s="62">
        <f t="shared" si="37"/>
        <v>-5.0000000000522959E-3</v>
      </c>
      <c r="AF35" s="71">
        <f t="shared" si="3"/>
        <v>2.9000000000053205E-2</v>
      </c>
      <c r="AG35" s="71">
        <f t="shared" si="34"/>
        <v>-5.6666666666653027E-3</v>
      </c>
      <c r="AH35" s="45">
        <f t="shared" si="30"/>
        <v>-6.9999999999993179E-2</v>
      </c>
      <c r="AI35" s="29">
        <f t="shared" si="31"/>
        <v>7.4999999999988631E-2</v>
      </c>
      <c r="AJ35" s="62">
        <f t="shared" si="32"/>
        <v>3.0000000000029559E-2</v>
      </c>
      <c r="AK35" s="62">
        <f t="shared" si="33"/>
        <v>-2.4000000000000909E-2</v>
      </c>
      <c r="AL35" s="62">
        <f t="shared" si="38"/>
        <v>2.6000000000010459E-2</v>
      </c>
      <c r="AM35" s="62">
        <f t="shared" si="39"/>
        <v>-6.8000000000040473E-2</v>
      </c>
      <c r="AN35" s="62">
        <f t="shared" si="40"/>
        <v>4.0000000000190994E-3</v>
      </c>
      <c r="AO35" s="62">
        <f>(U35-$G35)/7</f>
        <v>-3.8571428571409733E-3</v>
      </c>
      <c r="AP35" s="62">
        <f t="shared" si="41"/>
        <v>-3.5000000000025011E-2</v>
      </c>
      <c r="AQ35" s="62">
        <f t="shared" si="4"/>
        <v>-5.9999999999718057E-3</v>
      </c>
    </row>
    <row r="36" spans="1:43" ht="14.1" customHeight="1" x14ac:dyDescent="0.25">
      <c r="A36" s="3">
        <v>143</v>
      </c>
      <c r="B36" s="60">
        <v>2282575.534</v>
      </c>
      <c r="C36" s="60">
        <v>6342236.4340000004</v>
      </c>
      <c r="D36" s="60">
        <v>1107.087</v>
      </c>
      <c r="E36" s="58" t="s">
        <v>119</v>
      </c>
      <c r="F36" s="27">
        <v>1107.192</v>
      </c>
      <c r="G36" s="27"/>
      <c r="H36" s="27"/>
      <c r="I36" s="27"/>
      <c r="J36" s="27">
        <v>1107.123</v>
      </c>
      <c r="K36" s="27">
        <v>1107.172</v>
      </c>
      <c r="L36" s="27">
        <v>1107.047</v>
      </c>
      <c r="M36" s="60">
        <v>1107.1369999999999</v>
      </c>
      <c r="N36" s="27">
        <v>1107.165</v>
      </c>
      <c r="O36" s="60">
        <v>1107.2619999999999</v>
      </c>
      <c r="P36" s="60">
        <v>1107.105</v>
      </c>
      <c r="Q36" s="60">
        <v>1107.2929999999999</v>
      </c>
      <c r="R36" s="60">
        <v>1107.1300000000001</v>
      </c>
      <c r="S36" s="60">
        <v>1107.1279999999999</v>
      </c>
      <c r="T36" s="60">
        <v>1107.077</v>
      </c>
      <c r="U36" s="60">
        <v>1107.172</v>
      </c>
      <c r="V36" s="71">
        <v>1107.1099999999999</v>
      </c>
      <c r="W36" s="71">
        <f t="shared" si="0"/>
        <v>1107.087</v>
      </c>
      <c r="X36" s="89"/>
      <c r="Y36" s="27"/>
      <c r="Z36" s="29">
        <f t="shared" si="27"/>
        <v>-7.6000000000021828E-2</v>
      </c>
      <c r="AA36" s="62">
        <f t="shared" si="28"/>
        <v>0.11799999999993815</v>
      </c>
      <c r="AB36" s="62">
        <f t="shared" si="29"/>
        <v>-5.999999999994543E-2</v>
      </c>
      <c r="AC36" s="62">
        <f t="shared" si="35"/>
        <v>2.5000000000090949E-2</v>
      </c>
      <c r="AD36" s="62">
        <f t="shared" si="36"/>
        <v>-5.3000000000110958E-2</v>
      </c>
      <c r="AE36" s="62">
        <f t="shared" si="37"/>
        <v>3.2999999999901775E-2</v>
      </c>
      <c r="AF36" s="81">
        <f t="shared" si="3"/>
        <v>-2.299999999991087E-2</v>
      </c>
      <c r="AG36" s="79">
        <f>(W36-F36)/9</f>
        <v>-1.1666666666668688E-2</v>
      </c>
      <c r="AH36" s="45"/>
      <c r="AI36" s="28"/>
      <c r="AJ36" s="62">
        <f t="shared" si="32"/>
        <v>-3.5000000000081855E-2</v>
      </c>
      <c r="AK36" s="62">
        <f t="shared" si="33"/>
        <v>0.125</v>
      </c>
      <c r="AL36" s="62">
        <f t="shared" si="38"/>
        <v>3.0999999999949068E-2</v>
      </c>
      <c r="AM36" s="62">
        <f t="shared" si="39"/>
        <v>-0.16499999999996362</v>
      </c>
      <c r="AN36" s="62">
        <f t="shared" si="40"/>
        <v>4.4000000000096406E-2</v>
      </c>
      <c r="AO36" s="61">
        <f>(U36-K36)/5</f>
        <v>0</v>
      </c>
      <c r="AP36" s="62">
        <f t="shared" si="41"/>
        <v>-6.200000000012551E-2</v>
      </c>
      <c r="AQ36" s="62">
        <f t="shared" si="4"/>
        <v>-8.500000000003638E-2</v>
      </c>
    </row>
    <row r="37" spans="1:43" x14ac:dyDescent="0.25">
      <c r="A37" s="3">
        <v>144</v>
      </c>
      <c r="B37" s="60">
        <v>2221992.378</v>
      </c>
      <c r="C37" s="60">
        <v>6029550.8909999998</v>
      </c>
      <c r="D37" s="60">
        <v>313.95699999999999</v>
      </c>
      <c r="E37" s="58" t="s">
        <v>16</v>
      </c>
      <c r="F37" s="27">
        <v>314.23500000000001</v>
      </c>
      <c r="G37" s="27">
        <v>314.30799999999999</v>
      </c>
      <c r="H37" s="27">
        <v>314.26499999999999</v>
      </c>
      <c r="I37" s="27">
        <v>314.25900000000001</v>
      </c>
      <c r="J37" s="27">
        <v>314.20999999999998</v>
      </c>
      <c r="K37" s="27">
        <v>314.10300000000001</v>
      </c>
      <c r="L37" s="27">
        <v>314.17899999999997</v>
      </c>
      <c r="M37" s="60">
        <v>314.14999999999998</v>
      </c>
      <c r="N37" s="27">
        <v>314.142</v>
      </c>
      <c r="O37" s="60">
        <v>314.09399999999999</v>
      </c>
      <c r="P37" s="60">
        <v>314.09800000000001</v>
      </c>
      <c r="Q37" s="60">
        <v>314.084</v>
      </c>
      <c r="R37" s="60">
        <v>314.06</v>
      </c>
      <c r="S37" s="60">
        <v>314.03399999999999</v>
      </c>
      <c r="T37" s="60">
        <v>314.02</v>
      </c>
      <c r="U37" s="60">
        <v>314.03899999999999</v>
      </c>
      <c r="V37" s="71">
        <v>314.03100000000001</v>
      </c>
      <c r="W37" s="71">
        <f t="shared" si="0"/>
        <v>313.95699999999999</v>
      </c>
      <c r="X37" s="89">
        <f>H37-F37</f>
        <v>2.9999999999972715E-2</v>
      </c>
      <c r="Y37" s="27">
        <f>J37-H37</f>
        <v>-5.5000000000006821E-2</v>
      </c>
      <c r="Z37" s="29">
        <f t="shared" si="27"/>
        <v>-3.1000000000005912E-2</v>
      </c>
      <c r="AA37" s="62">
        <f t="shared" si="28"/>
        <v>-3.6999999999977717E-2</v>
      </c>
      <c r="AB37" s="62">
        <f t="shared" si="29"/>
        <v>-4.399999999998272E-2</v>
      </c>
      <c r="AC37" s="62">
        <f t="shared" si="35"/>
        <v>-3.8000000000010914E-2</v>
      </c>
      <c r="AD37" s="62">
        <f t="shared" si="36"/>
        <v>-4.0000000000020464E-2</v>
      </c>
      <c r="AE37" s="62">
        <f t="shared" si="37"/>
        <v>1.1000000000024102E-2</v>
      </c>
      <c r="AF37" s="71">
        <f t="shared" si="3"/>
        <v>-7.4000000000012278E-2</v>
      </c>
      <c r="AG37" s="71">
        <f>(W37-F37)/9</f>
        <v>-3.0888888888891113E-2</v>
      </c>
      <c r="AH37" s="45">
        <f>I37-G37</f>
        <v>-4.8999999999978172E-2</v>
      </c>
      <c r="AI37" s="29">
        <f>K37-I37</f>
        <v>-0.15600000000000591</v>
      </c>
      <c r="AJ37" s="62">
        <f t="shared" si="32"/>
        <v>4.6999999999968622E-2</v>
      </c>
      <c r="AK37" s="62">
        <f t="shared" si="33"/>
        <v>-5.5999999999983174E-2</v>
      </c>
      <c r="AL37" s="62">
        <f t="shared" si="38"/>
        <v>-9.9999999999909051E-3</v>
      </c>
      <c r="AM37" s="62">
        <f t="shared" si="39"/>
        <v>-5.0000000000011369E-2</v>
      </c>
      <c r="AN37" s="62">
        <f t="shared" si="40"/>
        <v>4.9999999999954525E-3</v>
      </c>
      <c r="AO37" s="62">
        <f>(U37-$G37)/7</f>
        <v>-3.8428571428572207E-2</v>
      </c>
      <c r="AP37" s="62">
        <f t="shared" si="41"/>
        <v>-7.9999999999813554E-3</v>
      </c>
      <c r="AQ37" s="62">
        <f t="shared" si="4"/>
        <v>-8.1999999999993634E-2</v>
      </c>
    </row>
    <row r="38" spans="1:43" x14ac:dyDescent="0.25">
      <c r="A38" s="41">
        <v>145</v>
      </c>
      <c r="B38" s="60">
        <v>2199134.5099999998</v>
      </c>
      <c r="C38" s="60">
        <v>6397420.4000000004</v>
      </c>
      <c r="D38" s="60">
        <v>494.09</v>
      </c>
      <c r="E38" s="58" t="s">
        <v>17</v>
      </c>
      <c r="F38" s="27">
        <v>494.09399999999999</v>
      </c>
      <c r="G38" s="27">
        <v>494.09</v>
      </c>
      <c r="H38" s="27">
        <v>494.09</v>
      </c>
      <c r="I38" s="27">
        <v>494.09</v>
      </c>
      <c r="J38" s="27">
        <v>494.09</v>
      </c>
      <c r="K38" s="27">
        <v>494.09</v>
      </c>
      <c r="L38" s="27">
        <v>494.1</v>
      </c>
      <c r="M38" s="60">
        <v>494.1</v>
      </c>
      <c r="N38" s="27">
        <v>494.09</v>
      </c>
      <c r="O38" s="60">
        <v>494.09</v>
      </c>
      <c r="P38" s="71">
        <v>494.09</v>
      </c>
      <c r="Q38" s="60">
        <v>494.09</v>
      </c>
      <c r="R38" s="60">
        <v>494.09</v>
      </c>
      <c r="S38" s="60">
        <v>494.09</v>
      </c>
      <c r="T38" s="60">
        <v>494.09</v>
      </c>
      <c r="U38" s="60">
        <v>494.09</v>
      </c>
      <c r="V38" s="71">
        <v>494.09</v>
      </c>
      <c r="W38" s="71">
        <f t="shared" si="0"/>
        <v>494.09</v>
      </c>
      <c r="X38" s="89">
        <f>H38-F38</f>
        <v>-4.0000000000190994E-3</v>
      </c>
      <c r="Y38" s="27">
        <f>J38-H38</f>
        <v>0</v>
      </c>
      <c r="Z38" s="29">
        <f t="shared" si="27"/>
        <v>1.0000000000047748E-2</v>
      </c>
      <c r="AA38" s="62">
        <f t="shared" si="28"/>
        <v>-1.0000000000047748E-2</v>
      </c>
      <c r="AB38" s="62">
        <f t="shared" si="29"/>
        <v>0</v>
      </c>
      <c r="AC38" s="62">
        <f t="shared" si="35"/>
        <v>0</v>
      </c>
      <c r="AD38" s="62">
        <f t="shared" si="36"/>
        <v>0</v>
      </c>
      <c r="AE38" s="62">
        <f t="shared" si="37"/>
        <v>0</v>
      </c>
      <c r="AF38" s="71">
        <f t="shared" si="3"/>
        <v>0</v>
      </c>
      <c r="AG38" s="71">
        <f t="shared" ref="AG38:AG52" si="42">(W38-F38)/9</f>
        <v>-4.4444444444656657E-4</v>
      </c>
      <c r="AH38" s="45">
        <f>I38-G38</f>
        <v>0</v>
      </c>
      <c r="AI38" s="29">
        <f>K38-I38</f>
        <v>0</v>
      </c>
      <c r="AJ38" s="62">
        <f t="shared" si="32"/>
        <v>1.0000000000047748E-2</v>
      </c>
      <c r="AK38" s="62">
        <f t="shared" si="33"/>
        <v>-1.0000000000047748E-2</v>
      </c>
      <c r="AL38" s="62">
        <f t="shared" si="38"/>
        <v>0</v>
      </c>
      <c r="AM38" s="62">
        <f t="shared" si="39"/>
        <v>0</v>
      </c>
      <c r="AN38" s="62">
        <f t="shared" si="40"/>
        <v>0</v>
      </c>
      <c r="AO38" s="62">
        <f>(U38-$G38)/7</f>
        <v>0</v>
      </c>
      <c r="AP38" s="62">
        <f t="shared" si="41"/>
        <v>0</v>
      </c>
      <c r="AQ38" s="62">
        <f t="shared" si="4"/>
        <v>0</v>
      </c>
    </row>
    <row r="39" spans="1:43" x14ac:dyDescent="0.25">
      <c r="A39" s="41">
        <v>146</v>
      </c>
      <c r="B39" s="60">
        <v>2275034.3199999998</v>
      </c>
      <c r="C39" s="60">
        <v>5961519.2999999998</v>
      </c>
      <c r="D39" s="60">
        <v>285.33999999999997</v>
      </c>
      <c r="E39" s="58" t="s">
        <v>18</v>
      </c>
      <c r="F39" s="27">
        <v>285.34399999999999</v>
      </c>
      <c r="G39" s="27">
        <v>285.41399999999999</v>
      </c>
      <c r="H39" s="27">
        <v>285.33999999999997</v>
      </c>
      <c r="I39" s="27">
        <v>285.33999999999997</v>
      </c>
      <c r="J39" s="27">
        <v>285.33999999999997</v>
      </c>
      <c r="K39" s="27">
        <v>285.33999999999997</v>
      </c>
      <c r="L39" s="27">
        <v>285.33999999999997</v>
      </c>
      <c r="M39" s="60">
        <v>285.33999999999997</v>
      </c>
      <c r="N39" s="27">
        <v>285.33999999999997</v>
      </c>
      <c r="O39" s="60">
        <v>285.33999999999997</v>
      </c>
      <c r="P39" s="71">
        <v>285.33999999999997</v>
      </c>
      <c r="Q39" s="60">
        <v>285.33999999999997</v>
      </c>
      <c r="R39" s="60">
        <v>285.33999999999997</v>
      </c>
      <c r="S39" s="60">
        <v>285.33999999999997</v>
      </c>
      <c r="T39" s="60">
        <v>285.33999999999997</v>
      </c>
      <c r="U39" s="60">
        <v>285.33999999999997</v>
      </c>
      <c r="V39" s="71">
        <v>285.33999999999997</v>
      </c>
      <c r="W39" s="71">
        <f t="shared" si="0"/>
        <v>285.33999999999997</v>
      </c>
      <c r="X39" s="89">
        <f>H39-F39</f>
        <v>-4.0000000000190994E-3</v>
      </c>
      <c r="Y39" s="27">
        <f>J39-H39</f>
        <v>0</v>
      </c>
      <c r="Z39" s="29">
        <f t="shared" si="27"/>
        <v>0</v>
      </c>
      <c r="AA39" s="62">
        <f t="shared" si="28"/>
        <v>0</v>
      </c>
      <c r="AB39" s="62">
        <f t="shared" si="29"/>
        <v>0</v>
      </c>
      <c r="AC39" s="62">
        <f t="shared" si="35"/>
        <v>0</v>
      </c>
      <c r="AD39" s="62">
        <f t="shared" si="36"/>
        <v>0</v>
      </c>
      <c r="AE39" s="62">
        <f t="shared" si="37"/>
        <v>0</v>
      </c>
      <c r="AF39" s="71">
        <f t="shared" si="3"/>
        <v>0</v>
      </c>
      <c r="AG39" s="71">
        <f t="shared" si="42"/>
        <v>-4.4444444444656657E-4</v>
      </c>
      <c r="AH39" s="45">
        <f>I39-G39</f>
        <v>-7.4000000000012278E-2</v>
      </c>
      <c r="AI39" s="29">
        <f>K39-I39</f>
        <v>0</v>
      </c>
      <c r="AJ39" s="62">
        <f t="shared" si="32"/>
        <v>0</v>
      </c>
      <c r="AK39" s="62">
        <f t="shared" si="33"/>
        <v>0</v>
      </c>
      <c r="AL39" s="62">
        <f t="shared" si="38"/>
        <v>0</v>
      </c>
      <c r="AM39" s="62">
        <f t="shared" si="39"/>
        <v>0</v>
      </c>
      <c r="AN39" s="62">
        <f t="shared" si="40"/>
        <v>0</v>
      </c>
      <c r="AO39" s="62">
        <f>(U39-$G39)/7</f>
        <v>-1.0571428571430326E-2</v>
      </c>
      <c r="AP39" s="62">
        <f t="shared" si="41"/>
        <v>0</v>
      </c>
      <c r="AQ39" s="62">
        <f t="shared" si="4"/>
        <v>0</v>
      </c>
    </row>
    <row r="40" spans="1:43" x14ac:dyDescent="0.25">
      <c r="A40" s="3">
        <v>147</v>
      </c>
      <c r="B40" s="60">
        <v>2238612.2930000001</v>
      </c>
      <c r="C40" s="60">
        <v>6104481.335</v>
      </c>
      <c r="D40" s="60">
        <v>122.834</v>
      </c>
      <c r="E40" s="58" t="s">
        <v>19</v>
      </c>
      <c r="F40" s="27">
        <v>124.21599999999999</v>
      </c>
      <c r="G40" s="27">
        <v>124.137</v>
      </c>
      <c r="H40" s="27">
        <v>124.074</v>
      </c>
      <c r="I40" s="27">
        <v>123.935</v>
      </c>
      <c r="J40" s="27">
        <v>123.91</v>
      </c>
      <c r="K40" s="27">
        <v>123.852</v>
      </c>
      <c r="L40" s="27">
        <v>123.804</v>
      </c>
      <c r="M40" s="60">
        <v>123.648</v>
      </c>
      <c r="N40" s="27">
        <v>123.548</v>
      </c>
      <c r="O40" s="60">
        <v>123.539</v>
      </c>
      <c r="P40" s="60">
        <v>123.407</v>
      </c>
      <c r="Q40" s="60">
        <v>123.26600000000001</v>
      </c>
      <c r="R40" s="60">
        <v>123.28</v>
      </c>
      <c r="S40" s="60">
        <v>123.126</v>
      </c>
      <c r="T40" s="60">
        <v>123.125</v>
      </c>
      <c r="U40" s="60">
        <v>123.03700000000001</v>
      </c>
      <c r="V40" s="71">
        <v>122.991</v>
      </c>
      <c r="W40" s="71">
        <f t="shared" si="0"/>
        <v>122.834</v>
      </c>
      <c r="X40" s="89">
        <f>H40-F40</f>
        <v>-0.14199999999999591</v>
      </c>
      <c r="Y40" s="27">
        <f>J40-H40</f>
        <v>-0.16400000000000148</v>
      </c>
      <c r="Z40" s="29">
        <f t="shared" si="27"/>
        <v>-0.10599999999999454</v>
      </c>
      <c r="AA40" s="62">
        <f t="shared" si="28"/>
        <v>-0.25600000000000023</v>
      </c>
      <c r="AB40" s="62">
        <f t="shared" si="29"/>
        <v>-0.14100000000000534</v>
      </c>
      <c r="AC40" s="62">
        <f t="shared" si="35"/>
        <v>-0.12699999999999534</v>
      </c>
      <c r="AD40" s="62">
        <f t="shared" si="36"/>
        <v>-0.15500000000000114</v>
      </c>
      <c r="AE40" s="62">
        <f t="shared" si="37"/>
        <v>-0.13400000000000034</v>
      </c>
      <c r="AF40" s="71">
        <f t="shared" si="3"/>
        <v>-0.15699999999999648</v>
      </c>
      <c r="AG40" s="71">
        <f t="shared" si="42"/>
        <v>-0.15355555555555453</v>
      </c>
      <c r="AH40" s="45">
        <f>I40-G40</f>
        <v>-0.20199999999999818</v>
      </c>
      <c r="AI40" s="29">
        <f>K40-I40</f>
        <v>-8.2999999999998408E-2</v>
      </c>
      <c r="AJ40" s="62">
        <f t="shared" si="32"/>
        <v>-0.20400000000000773</v>
      </c>
      <c r="AK40" s="62">
        <f t="shared" si="33"/>
        <v>-0.10899999999999466</v>
      </c>
      <c r="AL40" s="62">
        <f t="shared" si="38"/>
        <v>-0.27299999999999613</v>
      </c>
      <c r="AM40" s="62">
        <f t="shared" si="39"/>
        <v>-0.14000000000000057</v>
      </c>
      <c r="AN40" s="62">
        <f t="shared" si="40"/>
        <v>-8.8999999999998636E-2</v>
      </c>
      <c r="AO40" s="62">
        <f>(U40-$G40)/7</f>
        <v>-0.15714285714285633</v>
      </c>
      <c r="AP40" s="62">
        <f t="shared" si="41"/>
        <v>-4.600000000000648E-2</v>
      </c>
      <c r="AQ40" s="62">
        <f t="shared" si="4"/>
        <v>-0.20300000000000296</v>
      </c>
    </row>
    <row r="41" spans="1:43" x14ac:dyDescent="0.25">
      <c r="A41" s="3">
        <v>148</v>
      </c>
      <c r="B41" s="60">
        <v>2392467.406</v>
      </c>
      <c r="C41" s="60">
        <v>6061625.665</v>
      </c>
      <c r="D41" s="60">
        <v>134.03800000000001</v>
      </c>
      <c r="E41" s="58" t="s">
        <v>20</v>
      </c>
      <c r="F41" s="27">
        <v>134.37700000000001</v>
      </c>
      <c r="G41" s="27">
        <v>134.20599999999999</v>
      </c>
      <c r="H41" s="27">
        <v>134.20699999999999</v>
      </c>
      <c r="I41" s="27">
        <v>134.167</v>
      </c>
      <c r="J41" s="27">
        <v>134.06200000000001</v>
      </c>
      <c r="K41" s="27">
        <v>134.22999999999999</v>
      </c>
      <c r="L41" s="27">
        <v>134.22999999999999</v>
      </c>
      <c r="M41" s="60">
        <v>134.131</v>
      </c>
      <c r="N41" s="27">
        <v>134.095</v>
      </c>
      <c r="O41" s="60">
        <v>134.22999999999999</v>
      </c>
      <c r="P41" s="60">
        <v>134.166</v>
      </c>
      <c r="Q41" s="60">
        <v>134.25800000000001</v>
      </c>
      <c r="R41" s="60">
        <v>134.13</v>
      </c>
      <c r="S41" s="60">
        <v>133.95099999999999</v>
      </c>
      <c r="T41" s="60">
        <v>134.08199999999999</v>
      </c>
      <c r="U41" s="60">
        <v>134.15100000000001</v>
      </c>
      <c r="V41" s="71">
        <v>134.22800000000001</v>
      </c>
      <c r="W41" s="71">
        <f t="shared" si="0"/>
        <v>134.03800000000001</v>
      </c>
      <c r="X41" s="89">
        <f>H41-F41</f>
        <v>-0.17000000000001592</v>
      </c>
      <c r="Y41" s="27">
        <f>J41-H41</f>
        <v>-0.14499999999998181</v>
      </c>
      <c r="Z41" s="29">
        <f t="shared" si="27"/>
        <v>0.16799999999997794</v>
      </c>
      <c r="AA41" s="62">
        <f t="shared" si="28"/>
        <v>-0.13499999999999091</v>
      </c>
      <c r="AB41" s="62">
        <f t="shared" si="29"/>
        <v>7.0999999999997954E-2</v>
      </c>
      <c r="AC41" s="62">
        <f t="shared" si="35"/>
        <v>-3.6000000000001364E-2</v>
      </c>
      <c r="AD41" s="62">
        <f t="shared" si="36"/>
        <v>-4.8000000000001819E-2</v>
      </c>
      <c r="AE41" s="62">
        <f t="shared" si="37"/>
        <v>0.14600000000001501</v>
      </c>
      <c r="AF41" s="71">
        <f t="shared" si="3"/>
        <v>-0.18999999999999773</v>
      </c>
      <c r="AG41" s="71">
        <f t="shared" si="42"/>
        <v>-3.7666666666666515E-2</v>
      </c>
      <c r="AH41" s="45">
        <f>I41-G41</f>
        <v>-3.8999999999987267E-2</v>
      </c>
      <c r="AI41" s="29">
        <f>K41-I41</f>
        <v>6.2999999999988177E-2</v>
      </c>
      <c r="AJ41" s="62">
        <f t="shared" si="32"/>
        <v>-9.8999999999989541E-2</v>
      </c>
      <c r="AK41" s="62">
        <f t="shared" si="33"/>
        <v>9.8999999999989541E-2</v>
      </c>
      <c r="AL41" s="62">
        <f t="shared" si="38"/>
        <v>2.8000000000020009E-2</v>
      </c>
      <c r="AM41" s="62">
        <f t="shared" si="39"/>
        <v>-0.30700000000001637</v>
      </c>
      <c r="AN41" s="62">
        <f t="shared" si="40"/>
        <v>0.20000000000001705</v>
      </c>
      <c r="AO41" s="62">
        <f>(U41-$G41)/7</f>
        <v>-7.8571428571397716E-3</v>
      </c>
      <c r="AP41" s="62">
        <f t="shared" si="41"/>
        <v>7.6999999999998181E-2</v>
      </c>
      <c r="AQ41" s="62">
        <f t="shared" si="4"/>
        <v>-0.11299999999999955</v>
      </c>
    </row>
    <row r="42" spans="1:43" x14ac:dyDescent="0.25">
      <c r="A42" s="41">
        <v>150</v>
      </c>
      <c r="B42" s="60">
        <v>2376151.6239999998</v>
      </c>
      <c r="C42" s="60">
        <v>5971948.227</v>
      </c>
      <c r="D42" s="60">
        <v>97.055999999999997</v>
      </c>
      <c r="E42" s="58" t="s">
        <v>120</v>
      </c>
      <c r="F42" s="27">
        <v>97.262</v>
      </c>
      <c r="G42" s="27"/>
      <c r="H42" s="27"/>
      <c r="I42" s="27"/>
      <c r="J42" s="27">
        <v>97.078000000000003</v>
      </c>
      <c r="K42" s="27">
        <v>97.298000000000002</v>
      </c>
      <c r="L42" s="27">
        <v>97.165999999999997</v>
      </c>
      <c r="M42" s="60">
        <v>97.179000000000002</v>
      </c>
      <c r="N42" s="27">
        <v>97.117999999999995</v>
      </c>
      <c r="O42" s="60">
        <v>97.161500000000004</v>
      </c>
      <c r="P42" s="63">
        <v>97.23</v>
      </c>
      <c r="Q42" s="60">
        <v>97.355000000000004</v>
      </c>
      <c r="R42" s="60">
        <v>97.26</v>
      </c>
      <c r="S42" s="60">
        <v>96.968000000000004</v>
      </c>
      <c r="T42" s="60">
        <v>97.123000000000005</v>
      </c>
      <c r="U42" s="60">
        <v>97.165999999999997</v>
      </c>
      <c r="V42" s="71">
        <v>97.257999999999996</v>
      </c>
      <c r="W42" s="71">
        <f t="shared" si="0"/>
        <v>97.055999999999997</v>
      </c>
      <c r="X42" s="89"/>
      <c r="Y42" s="27"/>
      <c r="Z42" s="29">
        <f t="shared" si="27"/>
        <v>8.7999999999993861E-2</v>
      </c>
      <c r="AA42" s="62">
        <f t="shared" si="28"/>
        <v>-4.8000000000001819E-2</v>
      </c>
      <c r="AB42" s="62">
        <f t="shared" si="29"/>
        <v>0.11200000000000898</v>
      </c>
      <c r="AC42" s="62">
        <f t="shared" si="35"/>
        <v>3.0000000000001137E-2</v>
      </c>
      <c r="AD42" s="62">
        <f t="shared" si="36"/>
        <v>-0.13700000000000045</v>
      </c>
      <c r="AE42" s="62">
        <f t="shared" si="37"/>
        <v>0.13499999999999091</v>
      </c>
      <c r="AF42" s="81">
        <f t="shared" si="3"/>
        <v>-0.20199999999999818</v>
      </c>
      <c r="AG42" s="79">
        <f>(W42-F42)/9</f>
        <v>-2.2888888888889229E-2</v>
      </c>
      <c r="AH42" s="45"/>
      <c r="AI42" s="28"/>
      <c r="AJ42" s="62">
        <f t="shared" si="32"/>
        <v>-0.11899999999999977</v>
      </c>
      <c r="AK42" s="62">
        <f t="shared" si="33"/>
        <v>-1.7499999999998295E-2</v>
      </c>
      <c r="AL42" s="62">
        <f t="shared" si="38"/>
        <v>0.19350000000000023</v>
      </c>
      <c r="AM42" s="62">
        <f t="shared" si="39"/>
        <v>-0.38700000000000045</v>
      </c>
      <c r="AN42" s="62">
        <f t="shared" si="40"/>
        <v>0.19799999999999329</v>
      </c>
      <c r="AO42" s="61">
        <f>(U42-K42)/5</f>
        <v>-2.6400000000000999E-2</v>
      </c>
      <c r="AP42" s="62">
        <f t="shared" si="41"/>
        <v>9.1999999999998749E-2</v>
      </c>
      <c r="AQ42" s="62">
        <f t="shared" si="4"/>
        <v>-0.10999999999999943</v>
      </c>
    </row>
    <row r="43" spans="1:43" x14ac:dyDescent="0.25">
      <c r="A43" s="3">
        <v>152</v>
      </c>
      <c r="B43" s="60">
        <v>2322364.1060000001</v>
      </c>
      <c r="C43" s="60">
        <v>6025789.0789999999</v>
      </c>
      <c r="D43" s="60">
        <v>83.802000000000007</v>
      </c>
      <c r="E43" s="58" t="s">
        <v>121</v>
      </c>
      <c r="F43" s="27">
        <v>84.683999999999997</v>
      </c>
      <c r="G43" s="27">
        <v>84.671000000000006</v>
      </c>
      <c r="H43" s="27">
        <v>84.611999999999995</v>
      </c>
      <c r="I43" s="27">
        <v>84.653999999999996</v>
      </c>
      <c r="J43" s="27">
        <v>84.51</v>
      </c>
      <c r="K43" s="27">
        <v>84.656000000000006</v>
      </c>
      <c r="L43" s="27">
        <v>84.543999999999997</v>
      </c>
      <c r="M43" s="60">
        <v>84.361999999999995</v>
      </c>
      <c r="N43" s="27">
        <v>84.082999999999998</v>
      </c>
      <c r="O43" s="60">
        <v>84.072999999999993</v>
      </c>
      <c r="P43" s="60">
        <v>84.046000000000006</v>
      </c>
      <c r="Q43" s="60">
        <v>84.069000000000003</v>
      </c>
      <c r="R43" s="60">
        <v>84.04</v>
      </c>
      <c r="S43" s="60">
        <v>83.878</v>
      </c>
      <c r="T43" s="60">
        <v>83.983000000000004</v>
      </c>
      <c r="U43" s="60">
        <v>84.033000000000001</v>
      </c>
      <c r="V43" s="71">
        <v>84.028999999999996</v>
      </c>
      <c r="W43" s="71">
        <f t="shared" si="0"/>
        <v>83.802000000000007</v>
      </c>
      <c r="X43" s="89">
        <f t="shared" ref="X43:X52" si="43">H43-F43</f>
        <v>-7.2000000000002728E-2</v>
      </c>
      <c r="Y43" s="27">
        <f t="shared" ref="Y43:Y52" si="44">J43-H43</f>
        <v>-0.10199999999998965</v>
      </c>
      <c r="Z43" s="29">
        <f t="shared" si="27"/>
        <v>3.3999999999991815E-2</v>
      </c>
      <c r="AA43" s="62">
        <f t="shared" si="28"/>
        <v>-0.46099999999999852</v>
      </c>
      <c r="AB43" s="62">
        <f t="shared" si="29"/>
        <v>-3.6999999999991928E-2</v>
      </c>
      <c r="AC43" s="62">
        <f t="shared" si="35"/>
        <v>-6.0000000000002274E-3</v>
      </c>
      <c r="AD43" s="62">
        <f t="shared" si="36"/>
        <v>-5.700000000000216E-2</v>
      </c>
      <c r="AE43" s="62">
        <f t="shared" si="37"/>
        <v>4.5999999999992269E-2</v>
      </c>
      <c r="AF43" s="71">
        <f t="shared" si="3"/>
        <v>-0.22699999999998965</v>
      </c>
      <c r="AG43" s="71">
        <f t="shared" si="42"/>
        <v>-9.7999999999998977E-2</v>
      </c>
      <c r="AH43" s="45">
        <f t="shared" ref="AH43:AH52" si="45">I43-G43</f>
        <v>-1.7000000000010118E-2</v>
      </c>
      <c r="AI43" s="29">
        <f t="shared" ref="AI43:AI52" si="46">K43-I43</f>
        <v>2.0000000000095497E-3</v>
      </c>
      <c r="AJ43" s="62">
        <f t="shared" si="32"/>
        <v>-0.29400000000001114</v>
      </c>
      <c r="AK43" s="62">
        <f t="shared" si="33"/>
        <v>-0.28900000000000148</v>
      </c>
      <c r="AL43" s="62">
        <f t="shared" si="38"/>
        <v>-3.9999999999906777E-3</v>
      </c>
      <c r="AM43" s="62">
        <f t="shared" si="39"/>
        <v>-0.1910000000000025</v>
      </c>
      <c r="AN43" s="62">
        <f t="shared" si="40"/>
        <v>0.15500000000000114</v>
      </c>
      <c r="AO43" s="62">
        <f t="shared" ref="AO43:AO52" si="47">(U43-$G43)/7</f>
        <v>-9.1142857142857886E-2</v>
      </c>
      <c r="AP43" s="62">
        <f t="shared" si="41"/>
        <v>-4.0000000000048885E-3</v>
      </c>
      <c r="AQ43" s="62">
        <f t="shared" si="4"/>
        <v>-0.23099999999999454</v>
      </c>
    </row>
    <row r="44" spans="1:43" x14ac:dyDescent="0.25">
      <c r="A44" s="3">
        <v>153</v>
      </c>
      <c r="B44" s="60">
        <v>2183877.3050000002</v>
      </c>
      <c r="C44" s="60">
        <v>6142113.6260000002</v>
      </c>
      <c r="D44" s="60">
        <v>153.86099999999999</v>
      </c>
      <c r="E44" s="58" t="s">
        <v>53</v>
      </c>
      <c r="F44" s="27">
        <v>154.68600000000001</v>
      </c>
      <c r="G44" s="27">
        <v>154.66999999999999</v>
      </c>
      <c r="H44" s="27">
        <v>154.69999999999999</v>
      </c>
      <c r="I44" s="27">
        <v>154.62899999999999</v>
      </c>
      <c r="J44" s="27">
        <v>154.55000000000001</v>
      </c>
      <c r="K44" s="27">
        <v>154.458</v>
      </c>
      <c r="L44" s="27">
        <v>154.46700000000001</v>
      </c>
      <c r="M44" s="60">
        <v>154.31800000000001</v>
      </c>
      <c r="N44" s="27">
        <v>154.23699999999999</v>
      </c>
      <c r="O44" s="60">
        <v>154.24</v>
      </c>
      <c r="P44" s="60">
        <v>154.10499999999999</v>
      </c>
      <c r="Q44" s="60">
        <v>154.09800000000001</v>
      </c>
      <c r="R44" s="60">
        <v>154.1</v>
      </c>
      <c r="S44" s="60">
        <v>154.15899999999999</v>
      </c>
      <c r="T44" s="60">
        <v>154.03899999999999</v>
      </c>
      <c r="U44" s="60">
        <v>154.03700000000001</v>
      </c>
      <c r="V44" s="71">
        <v>153.934</v>
      </c>
      <c r="W44" s="71">
        <f t="shared" si="0"/>
        <v>153.86099999999999</v>
      </c>
      <c r="X44" s="89">
        <f t="shared" si="43"/>
        <v>1.3999999999981583E-2</v>
      </c>
      <c r="Y44" s="27">
        <f t="shared" si="44"/>
        <v>-0.14999999999997726</v>
      </c>
      <c r="Z44" s="29">
        <f t="shared" si="27"/>
        <v>-8.2999999999998408E-2</v>
      </c>
      <c r="AA44" s="62">
        <f t="shared" si="28"/>
        <v>-0.23000000000001819</v>
      </c>
      <c r="AB44" s="62">
        <f t="shared" si="29"/>
        <v>-0.132000000000005</v>
      </c>
      <c r="AC44" s="62">
        <f t="shared" si="35"/>
        <v>-4.9999999999954525E-3</v>
      </c>
      <c r="AD44" s="62">
        <f t="shared" si="36"/>
        <v>-6.1000000000007049E-2</v>
      </c>
      <c r="AE44" s="62">
        <f t="shared" si="37"/>
        <v>-0.10499999999998977</v>
      </c>
      <c r="AF44" s="71">
        <f t="shared" si="3"/>
        <v>-7.3000000000007503E-2</v>
      </c>
      <c r="AG44" s="71">
        <f t="shared" si="42"/>
        <v>-9.1666666666668561E-2</v>
      </c>
      <c r="AH44" s="45">
        <f t="shared" si="45"/>
        <v>-4.0999999999996817E-2</v>
      </c>
      <c r="AI44" s="29">
        <f t="shared" si="46"/>
        <v>-0.17099999999999227</v>
      </c>
      <c r="AJ44" s="62">
        <f t="shared" si="32"/>
        <v>-0.13999999999998636</v>
      </c>
      <c r="AK44" s="62">
        <f t="shared" si="33"/>
        <v>-7.8000000000002956E-2</v>
      </c>
      <c r="AL44" s="62">
        <f t="shared" si="38"/>
        <v>-0.14199999999999591</v>
      </c>
      <c r="AM44" s="62">
        <f t="shared" si="39"/>
        <v>6.0999999999978627E-2</v>
      </c>
      <c r="AN44" s="62">
        <f t="shared" si="40"/>
        <v>-0.12199999999998568</v>
      </c>
      <c r="AO44" s="62">
        <f t="shared" si="47"/>
        <v>-9.0428571428568763E-2</v>
      </c>
      <c r="AP44" s="62">
        <f t="shared" si="41"/>
        <v>-0.10300000000000864</v>
      </c>
      <c r="AQ44" s="62">
        <f t="shared" si="4"/>
        <v>-0.17600000000001614</v>
      </c>
    </row>
    <row r="45" spans="1:43" x14ac:dyDescent="0.25">
      <c r="A45" s="3">
        <v>154</v>
      </c>
      <c r="B45" s="60">
        <v>2149040.1779999998</v>
      </c>
      <c r="C45" s="60">
        <v>6261382.727</v>
      </c>
      <c r="D45" s="60">
        <v>229.61</v>
      </c>
      <c r="E45" s="58" t="s">
        <v>122</v>
      </c>
      <c r="F45" s="27">
        <v>229.93899999999999</v>
      </c>
      <c r="G45" s="27">
        <v>229.84200000000001</v>
      </c>
      <c r="H45" s="27">
        <v>229.90100000000001</v>
      </c>
      <c r="I45" s="27">
        <v>229.84200000000001</v>
      </c>
      <c r="J45" s="27">
        <v>229.78</v>
      </c>
      <c r="K45" s="27">
        <v>229.77099999999999</v>
      </c>
      <c r="L45" s="27">
        <v>229.90299999999999</v>
      </c>
      <c r="M45" s="60">
        <v>229.61</v>
      </c>
      <c r="N45" s="27">
        <v>229.76400000000001</v>
      </c>
      <c r="O45" s="60">
        <v>229.58799999999999</v>
      </c>
      <c r="P45" s="60">
        <v>229.625</v>
      </c>
      <c r="Q45" s="60">
        <v>229.60300000000001</v>
      </c>
      <c r="R45" s="60">
        <v>229.61</v>
      </c>
      <c r="S45" s="60">
        <v>229.73699999999999</v>
      </c>
      <c r="T45" s="60">
        <v>229.65199999999999</v>
      </c>
      <c r="U45" s="60">
        <v>229.67400000000001</v>
      </c>
      <c r="V45" s="71">
        <v>229.54</v>
      </c>
      <c r="W45" s="71">
        <f t="shared" si="0"/>
        <v>229.61</v>
      </c>
      <c r="X45" s="89">
        <f t="shared" si="43"/>
        <v>-3.7999999999982492E-2</v>
      </c>
      <c r="Y45" s="27">
        <f t="shared" si="44"/>
        <v>-0.12100000000000932</v>
      </c>
      <c r="Z45" s="29">
        <f t="shared" si="27"/>
        <v>0.12299999999999045</v>
      </c>
      <c r="AA45" s="62">
        <f t="shared" si="28"/>
        <v>-0.13899999999998158</v>
      </c>
      <c r="AB45" s="62">
        <f t="shared" si="29"/>
        <v>-0.13900000000001</v>
      </c>
      <c r="AC45" s="62">
        <f t="shared" si="35"/>
        <v>-1.4999999999986358E-2</v>
      </c>
      <c r="AD45" s="62">
        <f t="shared" si="36"/>
        <v>4.199999999997317E-2</v>
      </c>
      <c r="AE45" s="62">
        <f t="shared" si="37"/>
        <v>-0.11199999999999477</v>
      </c>
      <c r="AF45" s="71">
        <f t="shared" si="3"/>
        <v>7.00000000000216E-2</v>
      </c>
      <c r="AG45" s="71">
        <f t="shared" si="42"/>
        <v>-3.655555555555326E-2</v>
      </c>
      <c r="AH45" s="45">
        <f t="shared" si="45"/>
        <v>0</v>
      </c>
      <c r="AI45" s="29">
        <f t="shared" si="46"/>
        <v>-7.1000000000026375E-2</v>
      </c>
      <c r="AJ45" s="62">
        <f t="shared" si="32"/>
        <v>-0.16099999999997294</v>
      </c>
      <c r="AK45" s="62">
        <f t="shared" si="33"/>
        <v>-2.2000000000019782E-2</v>
      </c>
      <c r="AL45" s="62">
        <f t="shared" si="38"/>
        <v>1.5000000000014779E-2</v>
      </c>
      <c r="AM45" s="62">
        <f t="shared" si="39"/>
        <v>0.13399999999998613</v>
      </c>
      <c r="AN45" s="62">
        <f t="shared" si="40"/>
        <v>-6.2999999999988177E-2</v>
      </c>
      <c r="AO45" s="62">
        <f t="shared" si="47"/>
        <v>-2.4000000000000909E-2</v>
      </c>
      <c r="AP45" s="62">
        <f t="shared" si="41"/>
        <v>-0.13400000000001455</v>
      </c>
      <c r="AQ45" s="62">
        <f t="shared" si="4"/>
        <v>-6.3999999999992951E-2</v>
      </c>
    </row>
    <row r="46" spans="1:43" x14ac:dyDescent="0.25">
      <c r="A46" s="3">
        <v>155</v>
      </c>
      <c r="B46" s="60">
        <v>2319104.4160000002</v>
      </c>
      <c r="C46" s="60">
        <v>6078482.2529999996</v>
      </c>
      <c r="D46" s="60">
        <v>108.83199999999999</v>
      </c>
      <c r="E46" s="58" t="s">
        <v>65</v>
      </c>
      <c r="F46" s="27">
        <v>110.751</v>
      </c>
      <c r="G46" s="27">
        <v>110.697</v>
      </c>
      <c r="H46" s="27">
        <v>110.488</v>
      </c>
      <c r="I46" s="27">
        <v>110.51</v>
      </c>
      <c r="J46" s="27">
        <v>110.42</v>
      </c>
      <c r="K46" s="27">
        <v>110.24</v>
      </c>
      <c r="L46" s="27">
        <v>110.169</v>
      </c>
      <c r="M46" s="60">
        <v>109.723</v>
      </c>
      <c r="N46" s="27">
        <v>109.60899999999999</v>
      </c>
      <c r="O46" s="60">
        <v>109.55500000000001</v>
      </c>
      <c r="P46" s="60">
        <v>109.363</v>
      </c>
      <c r="Q46" s="60">
        <v>109.41800000000001</v>
      </c>
      <c r="R46" s="60">
        <v>109.39</v>
      </c>
      <c r="S46" s="60">
        <v>109.10299999999999</v>
      </c>
      <c r="T46" s="60">
        <v>109.19499999999999</v>
      </c>
      <c r="U46" s="60">
        <v>109.182</v>
      </c>
      <c r="V46" s="71">
        <v>109.083</v>
      </c>
      <c r="W46" s="71">
        <f t="shared" si="0"/>
        <v>108.83199999999999</v>
      </c>
      <c r="X46" s="89">
        <f t="shared" si="43"/>
        <v>-0.26300000000000523</v>
      </c>
      <c r="Y46" s="27">
        <f t="shared" si="44"/>
        <v>-6.799999999999784E-2</v>
      </c>
      <c r="Z46" s="29">
        <f t="shared" si="27"/>
        <v>-0.25100000000000477</v>
      </c>
      <c r="AA46" s="62">
        <f t="shared" si="28"/>
        <v>-0.56000000000000227</v>
      </c>
      <c r="AB46" s="62">
        <f t="shared" si="29"/>
        <v>-0.24599999999999511</v>
      </c>
      <c r="AC46" s="62">
        <f t="shared" si="35"/>
        <v>2.7000000000001023E-2</v>
      </c>
      <c r="AD46" s="62">
        <f t="shared" si="36"/>
        <v>-0.19500000000000739</v>
      </c>
      <c r="AE46" s="62">
        <f t="shared" si="37"/>
        <v>-0.11199999999999477</v>
      </c>
      <c r="AF46" s="71">
        <f t="shared" si="3"/>
        <v>-0.25100000000000477</v>
      </c>
      <c r="AG46" s="71">
        <f t="shared" si="42"/>
        <v>-0.21322222222222345</v>
      </c>
      <c r="AH46" s="45">
        <f t="shared" si="45"/>
        <v>-0.18699999999999761</v>
      </c>
      <c r="AI46" s="29">
        <f t="shared" si="46"/>
        <v>-0.27000000000001023</v>
      </c>
      <c r="AJ46" s="62">
        <f t="shared" si="32"/>
        <v>-0.51699999999999591</v>
      </c>
      <c r="AK46" s="62">
        <f t="shared" si="33"/>
        <v>-0.16799999999999216</v>
      </c>
      <c r="AL46" s="62">
        <f t="shared" si="38"/>
        <v>-0.13700000000000045</v>
      </c>
      <c r="AM46" s="62">
        <f t="shared" si="39"/>
        <v>-0.31500000000001194</v>
      </c>
      <c r="AN46" s="62">
        <f t="shared" si="40"/>
        <v>7.9000000000007731E-2</v>
      </c>
      <c r="AO46" s="62">
        <f t="shared" si="47"/>
        <v>-0.2164285714285715</v>
      </c>
      <c r="AP46" s="62">
        <f t="shared" si="41"/>
        <v>-9.9000000000003752E-2</v>
      </c>
      <c r="AQ46" s="62">
        <f t="shared" si="4"/>
        <v>-0.35000000000000853</v>
      </c>
    </row>
    <row r="47" spans="1:43" x14ac:dyDescent="0.25">
      <c r="A47" s="3">
        <v>156</v>
      </c>
      <c r="B47" s="60">
        <v>2292291.9580000001</v>
      </c>
      <c r="C47" s="60">
        <v>6098548.642</v>
      </c>
      <c r="D47" s="60">
        <v>110.532</v>
      </c>
      <c r="E47" s="58" t="s">
        <v>66</v>
      </c>
      <c r="F47" s="27">
        <v>113.563</v>
      </c>
      <c r="G47" s="27">
        <v>113.199</v>
      </c>
      <c r="H47" s="27">
        <v>113.01300000000001</v>
      </c>
      <c r="I47" s="27">
        <v>112.643</v>
      </c>
      <c r="J47" s="27">
        <v>112.54</v>
      </c>
      <c r="K47" s="27">
        <v>112.17</v>
      </c>
      <c r="L47" s="27">
        <v>112.129</v>
      </c>
      <c r="M47" s="60">
        <v>111.652</v>
      </c>
      <c r="N47" s="27">
        <v>111.482</v>
      </c>
      <c r="O47" s="60">
        <v>111.29600000000001</v>
      </c>
      <c r="P47" s="60">
        <v>111.19199999999999</v>
      </c>
      <c r="Q47" s="60">
        <v>111.196</v>
      </c>
      <c r="R47" s="60">
        <v>111.2</v>
      </c>
      <c r="S47" s="60">
        <v>110.81699999999999</v>
      </c>
      <c r="T47" s="60">
        <v>110.884</v>
      </c>
      <c r="U47" s="60">
        <v>110.878</v>
      </c>
      <c r="V47" s="71">
        <v>110.81699999999999</v>
      </c>
      <c r="W47" s="71">
        <f t="shared" si="0"/>
        <v>110.532</v>
      </c>
      <c r="X47" s="89">
        <f t="shared" si="43"/>
        <v>-0.54999999999999716</v>
      </c>
      <c r="Y47" s="27">
        <f t="shared" si="44"/>
        <v>-0.47299999999999898</v>
      </c>
      <c r="Z47" s="29">
        <f t="shared" si="27"/>
        <v>-0.41100000000000136</v>
      </c>
      <c r="AA47" s="62">
        <f t="shared" si="28"/>
        <v>-0.64700000000000557</v>
      </c>
      <c r="AB47" s="62">
        <f t="shared" si="29"/>
        <v>-0.29000000000000625</v>
      </c>
      <c r="AC47" s="62">
        <f t="shared" si="35"/>
        <v>8.0000000000097771E-3</v>
      </c>
      <c r="AD47" s="62">
        <f t="shared" si="36"/>
        <v>-0.3160000000000025</v>
      </c>
      <c r="AE47" s="62">
        <f t="shared" si="37"/>
        <v>-6.7000000000007276E-2</v>
      </c>
      <c r="AF47" s="71">
        <f t="shared" si="3"/>
        <v>-0.28499999999999659</v>
      </c>
      <c r="AG47" s="71">
        <f t="shared" si="42"/>
        <v>-0.33677777777777845</v>
      </c>
      <c r="AH47" s="45">
        <f t="shared" si="45"/>
        <v>-0.55599999999999739</v>
      </c>
      <c r="AI47" s="29">
        <f t="shared" si="46"/>
        <v>-0.47299999999999898</v>
      </c>
      <c r="AJ47" s="62">
        <f t="shared" si="32"/>
        <v>-0.51800000000000068</v>
      </c>
      <c r="AK47" s="62">
        <f t="shared" si="33"/>
        <v>-0.35599999999999454</v>
      </c>
      <c r="AL47" s="62">
        <f t="shared" si="38"/>
        <v>-0.10000000000000853</v>
      </c>
      <c r="AM47" s="62">
        <f t="shared" si="39"/>
        <v>-0.37900000000000489</v>
      </c>
      <c r="AN47" s="62">
        <f t="shared" si="40"/>
        <v>6.1000000000007049E-2</v>
      </c>
      <c r="AO47" s="62">
        <f t="shared" si="47"/>
        <v>-0.33157142857142829</v>
      </c>
      <c r="AP47" s="62">
        <f t="shared" si="41"/>
        <v>-6.1000000000007049E-2</v>
      </c>
      <c r="AQ47" s="62">
        <f t="shared" si="4"/>
        <v>-0.34600000000000364</v>
      </c>
    </row>
    <row r="48" spans="1:43" x14ac:dyDescent="0.25">
      <c r="A48" s="3">
        <v>157</v>
      </c>
      <c r="B48" s="60">
        <v>2263167.591</v>
      </c>
      <c r="C48" s="60">
        <v>6102759.1030000001</v>
      </c>
      <c r="D48" s="60">
        <v>113.07599999999999</v>
      </c>
      <c r="E48" s="58" t="s">
        <v>123</v>
      </c>
      <c r="F48" s="27">
        <v>114.879</v>
      </c>
      <c r="G48" s="27">
        <v>114.828</v>
      </c>
      <c r="H48" s="27">
        <v>114.71299999999999</v>
      </c>
      <c r="I48" s="27">
        <v>114.584</v>
      </c>
      <c r="J48" s="27">
        <v>114.5</v>
      </c>
      <c r="K48" s="27">
        <v>114.37</v>
      </c>
      <c r="L48" s="27">
        <v>114.316</v>
      </c>
      <c r="M48" s="60">
        <v>114.10899999999999</v>
      </c>
      <c r="N48" s="27">
        <v>113.947</v>
      </c>
      <c r="O48" s="60">
        <v>113.92400000000001</v>
      </c>
      <c r="P48" s="60">
        <v>113.741</v>
      </c>
      <c r="Q48" s="60">
        <v>113.62</v>
      </c>
      <c r="R48" s="60">
        <v>113.61</v>
      </c>
      <c r="S48" s="60">
        <v>113.447</v>
      </c>
      <c r="T48" s="60">
        <v>113.41800000000001</v>
      </c>
      <c r="U48" s="60">
        <v>113.33</v>
      </c>
      <c r="V48" s="71">
        <v>113.268</v>
      </c>
      <c r="W48" s="71">
        <f t="shared" si="0"/>
        <v>113.07599999999999</v>
      </c>
      <c r="X48" s="89">
        <f t="shared" si="43"/>
        <v>-0.16600000000001103</v>
      </c>
      <c r="Y48" s="27">
        <f t="shared" si="44"/>
        <v>-0.21299999999999386</v>
      </c>
      <c r="Z48" s="29">
        <f t="shared" si="27"/>
        <v>-0.1839999999999975</v>
      </c>
      <c r="AA48" s="62">
        <f t="shared" si="28"/>
        <v>-0.36899999999999977</v>
      </c>
      <c r="AB48" s="62">
        <f t="shared" si="29"/>
        <v>-0.20600000000000307</v>
      </c>
      <c r="AC48" s="62">
        <f t="shared" si="35"/>
        <v>-0.13100000000000023</v>
      </c>
      <c r="AD48" s="62">
        <f t="shared" si="36"/>
        <v>-0.19199999999999307</v>
      </c>
      <c r="AE48" s="62">
        <f t="shared" si="37"/>
        <v>-0.15000000000000568</v>
      </c>
      <c r="AF48" s="71">
        <f t="shared" si="3"/>
        <v>-0.19200000000000728</v>
      </c>
      <c r="AG48" s="71">
        <f t="shared" si="42"/>
        <v>-0.20033333333333461</v>
      </c>
      <c r="AH48" s="45">
        <f t="shared" si="45"/>
        <v>-0.24399999999999977</v>
      </c>
      <c r="AI48" s="29">
        <f t="shared" si="46"/>
        <v>-0.21399999999999864</v>
      </c>
      <c r="AJ48" s="62">
        <f t="shared" si="32"/>
        <v>-0.26100000000000989</v>
      </c>
      <c r="AK48" s="62">
        <f t="shared" si="33"/>
        <v>-0.18499999999998806</v>
      </c>
      <c r="AL48" s="62">
        <f t="shared" si="38"/>
        <v>-0.30400000000000205</v>
      </c>
      <c r="AM48" s="62">
        <f t="shared" si="39"/>
        <v>-0.17300000000000182</v>
      </c>
      <c r="AN48" s="62">
        <f t="shared" si="40"/>
        <v>-0.11700000000000443</v>
      </c>
      <c r="AO48" s="62">
        <f t="shared" si="47"/>
        <v>-0.21400000000000066</v>
      </c>
      <c r="AP48" s="62">
        <f t="shared" si="41"/>
        <v>-6.1999999999997613E-2</v>
      </c>
      <c r="AQ48" s="62">
        <f t="shared" si="4"/>
        <v>-0.25400000000000489</v>
      </c>
    </row>
    <row r="49" spans="1:43" x14ac:dyDescent="0.25">
      <c r="A49" s="3">
        <v>158</v>
      </c>
      <c r="B49" s="60">
        <v>2198310.1850000001</v>
      </c>
      <c r="C49" s="60">
        <v>6154768.9759999998</v>
      </c>
      <c r="D49" s="60">
        <v>149.18600000000001</v>
      </c>
      <c r="E49" s="58" t="s">
        <v>68</v>
      </c>
      <c r="F49" s="27">
        <v>150.68299999999999</v>
      </c>
      <c r="G49" s="27">
        <v>150.602</v>
      </c>
      <c r="H49" s="27">
        <v>150.661</v>
      </c>
      <c r="I49" s="27">
        <v>150.547</v>
      </c>
      <c r="J49" s="27">
        <v>150.44999999999999</v>
      </c>
      <c r="K49" s="27">
        <v>150.30000000000001</v>
      </c>
      <c r="L49" s="27">
        <v>150.279</v>
      </c>
      <c r="M49" s="60">
        <v>150.023</v>
      </c>
      <c r="N49" s="27">
        <v>149.964</v>
      </c>
      <c r="O49" s="60">
        <v>149.94399999999999</v>
      </c>
      <c r="P49" s="60">
        <v>149.732</v>
      </c>
      <c r="Q49" s="60">
        <v>149.602</v>
      </c>
      <c r="R49" s="60">
        <v>149.65</v>
      </c>
      <c r="S49" s="60">
        <v>149.63</v>
      </c>
      <c r="T49" s="60">
        <v>149.499</v>
      </c>
      <c r="U49" s="60">
        <v>149.43299999999999</v>
      </c>
      <c r="V49" s="71">
        <v>149.32300000000001</v>
      </c>
      <c r="W49" s="71">
        <f t="shared" si="0"/>
        <v>149.18600000000001</v>
      </c>
      <c r="X49" s="89">
        <f t="shared" si="43"/>
        <v>-2.199999999999136E-2</v>
      </c>
      <c r="Y49" s="27">
        <f t="shared" si="44"/>
        <v>-0.21100000000001273</v>
      </c>
      <c r="Z49" s="29">
        <f t="shared" si="27"/>
        <v>-0.17099999999999227</v>
      </c>
      <c r="AA49" s="62">
        <f t="shared" si="28"/>
        <v>-0.31499999999999773</v>
      </c>
      <c r="AB49" s="62">
        <f t="shared" si="29"/>
        <v>-0.23199999999999932</v>
      </c>
      <c r="AC49" s="62">
        <f t="shared" si="35"/>
        <v>-8.1999999999993634E-2</v>
      </c>
      <c r="AD49" s="62">
        <f t="shared" si="36"/>
        <v>-0.15100000000001046</v>
      </c>
      <c r="AE49" s="62">
        <f t="shared" si="37"/>
        <v>-0.17599999999998772</v>
      </c>
      <c r="AF49" s="71">
        <f t="shared" si="3"/>
        <v>-0.13700000000000045</v>
      </c>
      <c r="AG49" s="71">
        <f t="shared" si="42"/>
        <v>-0.16633333333333175</v>
      </c>
      <c r="AH49" s="45">
        <f t="shared" si="45"/>
        <v>-5.5000000000006821E-2</v>
      </c>
      <c r="AI49" s="29">
        <f t="shared" si="46"/>
        <v>-0.24699999999998568</v>
      </c>
      <c r="AJ49" s="62">
        <f t="shared" si="32"/>
        <v>-0.27700000000001523</v>
      </c>
      <c r="AK49" s="62">
        <f t="shared" si="33"/>
        <v>-7.9000000000007731E-2</v>
      </c>
      <c r="AL49" s="62">
        <f t="shared" si="38"/>
        <v>-0.34199999999998454</v>
      </c>
      <c r="AM49" s="62">
        <f t="shared" si="39"/>
        <v>2.7999999999991587E-2</v>
      </c>
      <c r="AN49" s="62">
        <f t="shared" si="40"/>
        <v>-0.19700000000000273</v>
      </c>
      <c r="AO49" s="62">
        <f t="shared" si="47"/>
        <v>-0.16700000000000159</v>
      </c>
      <c r="AP49" s="62">
        <f t="shared" si="41"/>
        <v>-0.10999999999998522</v>
      </c>
      <c r="AQ49" s="62">
        <f t="shared" si="4"/>
        <v>-0.24699999999998568</v>
      </c>
    </row>
    <row r="50" spans="1:43" x14ac:dyDescent="0.25">
      <c r="A50" s="3">
        <v>159</v>
      </c>
      <c r="B50" s="60">
        <v>2186287.7889999999</v>
      </c>
      <c r="C50" s="60">
        <v>6159874.9519999996</v>
      </c>
      <c r="D50" s="60">
        <v>150.66999999999999</v>
      </c>
      <c r="E50" s="58" t="s">
        <v>23</v>
      </c>
      <c r="F50" s="27">
        <v>151.73699999999999</v>
      </c>
      <c r="G50" s="27">
        <v>151.67400000000001</v>
      </c>
      <c r="H50" s="27">
        <v>151.74799999999999</v>
      </c>
      <c r="I50" s="27">
        <v>151.63499999999999</v>
      </c>
      <c r="J50" s="27">
        <v>151.57</v>
      </c>
      <c r="K50" s="27">
        <v>151.44</v>
      </c>
      <c r="L50" s="27">
        <v>151.447</v>
      </c>
      <c r="M50" s="60">
        <v>151.274</v>
      </c>
      <c r="N50" s="27">
        <v>151.17400000000001</v>
      </c>
      <c r="O50" s="60">
        <v>151.184</v>
      </c>
      <c r="P50" s="60">
        <v>150.995</v>
      </c>
      <c r="Q50" s="60">
        <v>150.946</v>
      </c>
      <c r="R50" s="60">
        <v>150.99</v>
      </c>
      <c r="S50" s="60">
        <v>151.005</v>
      </c>
      <c r="T50" s="60">
        <v>150.88900000000001</v>
      </c>
      <c r="U50" s="60">
        <v>150.84200000000001</v>
      </c>
      <c r="V50" s="71">
        <v>150.738</v>
      </c>
      <c r="W50" s="71">
        <f t="shared" si="0"/>
        <v>150.66999999999999</v>
      </c>
      <c r="X50" s="89">
        <f t="shared" si="43"/>
        <v>1.099999999999568E-2</v>
      </c>
      <c r="Y50" s="27">
        <f t="shared" si="44"/>
        <v>-0.17799999999999727</v>
      </c>
      <c r="Z50" s="29">
        <f t="shared" si="27"/>
        <v>-0.12299999999999045</v>
      </c>
      <c r="AA50" s="62">
        <f t="shared" si="28"/>
        <v>-0.27299999999999613</v>
      </c>
      <c r="AB50" s="62">
        <f t="shared" si="29"/>
        <v>-0.17900000000000205</v>
      </c>
      <c r="AC50" s="62">
        <f t="shared" si="35"/>
        <v>-4.9999999999954525E-3</v>
      </c>
      <c r="AD50" s="62">
        <f t="shared" si="36"/>
        <v>-0.10099999999999909</v>
      </c>
      <c r="AE50" s="62">
        <f t="shared" si="37"/>
        <v>-0.15100000000001046</v>
      </c>
      <c r="AF50" s="71">
        <f t="shared" si="3"/>
        <v>-6.8000000000012051E-2</v>
      </c>
      <c r="AG50" s="71">
        <f t="shared" si="42"/>
        <v>-0.11855555555555636</v>
      </c>
      <c r="AH50" s="45">
        <f t="shared" si="45"/>
        <v>-3.9000000000015689E-2</v>
      </c>
      <c r="AI50" s="29">
        <f t="shared" si="46"/>
        <v>-0.19499999999999318</v>
      </c>
      <c r="AJ50" s="62">
        <f t="shared" si="32"/>
        <v>-0.16599999999999682</v>
      </c>
      <c r="AK50" s="62">
        <f t="shared" si="33"/>
        <v>-9.0000000000003411E-2</v>
      </c>
      <c r="AL50" s="62">
        <f t="shared" si="38"/>
        <v>-0.23799999999999955</v>
      </c>
      <c r="AM50" s="62">
        <f t="shared" si="39"/>
        <v>5.8999999999997499E-2</v>
      </c>
      <c r="AN50" s="62">
        <f t="shared" si="40"/>
        <v>-0.16299999999998249</v>
      </c>
      <c r="AO50" s="62">
        <f t="shared" si="47"/>
        <v>-0.11885714285714195</v>
      </c>
      <c r="AP50" s="62">
        <f t="shared" si="41"/>
        <v>-0.10400000000001342</v>
      </c>
      <c r="AQ50" s="62">
        <f t="shared" si="4"/>
        <v>-0.17200000000002547</v>
      </c>
    </row>
    <row r="51" spans="1:43" x14ac:dyDescent="0.25">
      <c r="A51" s="16" t="s">
        <v>95</v>
      </c>
      <c r="B51" s="100">
        <v>2184391.4040000001</v>
      </c>
      <c r="C51" s="100">
        <v>6227465.2699999996</v>
      </c>
      <c r="D51" s="100">
        <v>215.24700000000001</v>
      </c>
      <c r="E51" s="58" t="s">
        <v>69</v>
      </c>
      <c r="F51" s="27">
        <v>214.363</v>
      </c>
      <c r="G51" s="27">
        <v>214.267</v>
      </c>
      <c r="H51" s="27">
        <v>214.31200000000001</v>
      </c>
      <c r="I51" s="27">
        <v>214.24299999999999</v>
      </c>
      <c r="J51" s="27">
        <v>214.13</v>
      </c>
      <c r="K51" s="27">
        <v>213.99799999999999</v>
      </c>
      <c r="L51" s="31">
        <v>214.02099999999999</v>
      </c>
      <c r="M51" s="60">
        <v>213.84</v>
      </c>
      <c r="N51" s="31">
        <v>213.827</v>
      </c>
      <c r="O51" s="63">
        <v>213.71299999999999</v>
      </c>
      <c r="P51" s="71">
        <f>215.38-1.663</f>
        <v>213.71699999999998</v>
      </c>
      <c r="Q51" s="60">
        <f>215.33-1.663</f>
        <v>213.667</v>
      </c>
      <c r="R51" s="60">
        <f>215.34-1.663</f>
        <v>213.67699999999999</v>
      </c>
      <c r="S51" s="60">
        <f>215.358-1.663</f>
        <v>213.69499999999999</v>
      </c>
      <c r="T51" s="60">
        <f>215.28-1.663</f>
        <v>213.61699999999999</v>
      </c>
      <c r="U51" s="60">
        <f>215.3-1.663</f>
        <v>213.637</v>
      </c>
      <c r="V51" s="71">
        <f>215.212-1.663</f>
        <v>213.54899999999998</v>
      </c>
      <c r="W51" s="63">
        <f>D51-1.663</f>
        <v>213.584</v>
      </c>
      <c r="X51" s="89">
        <f t="shared" si="43"/>
        <v>-5.0999999999987722E-2</v>
      </c>
      <c r="Y51" s="27">
        <f t="shared" si="44"/>
        <v>-0.18200000000001637</v>
      </c>
      <c r="Z51" s="29">
        <f t="shared" si="27"/>
        <v>-0.10900000000000887</v>
      </c>
      <c r="AA51" s="62">
        <f t="shared" si="28"/>
        <v>-0.1939999999999884</v>
      </c>
      <c r="AB51" s="62">
        <f t="shared" si="29"/>
        <v>-0.11000000000001364</v>
      </c>
      <c r="AC51" s="62">
        <f t="shared" si="35"/>
        <v>-3.9999999999992042E-2</v>
      </c>
      <c r="AD51" s="62">
        <f t="shared" si="36"/>
        <v>-6.0000000000002274E-2</v>
      </c>
      <c r="AE51" s="62">
        <f t="shared" si="37"/>
        <v>-6.8000000000012051E-2</v>
      </c>
      <c r="AF51" s="63">
        <f t="shared" si="3"/>
        <v>3.5000000000025011E-2</v>
      </c>
      <c r="AG51" s="71">
        <f t="shared" si="42"/>
        <v>-8.655555555555515E-2</v>
      </c>
      <c r="AH51" s="45">
        <f t="shared" si="45"/>
        <v>-2.4000000000000909E-2</v>
      </c>
      <c r="AI51" s="29">
        <f t="shared" si="46"/>
        <v>-0.24500000000000455</v>
      </c>
      <c r="AJ51" s="62">
        <f t="shared" si="32"/>
        <v>-0.15799999999998704</v>
      </c>
      <c r="AK51" s="62">
        <f t="shared" si="33"/>
        <v>-0.12700000000000955</v>
      </c>
      <c r="AL51" s="62">
        <f t="shared" si="38"/>
        <v>-4.5999999999992269E-2</v>
      </c>
      <c r="AM51" s="62">
        <f t="shared" si="39"/>
        <v>2.7999999999991587E-2</v>
      </c>
      <c r="AN51" s="62">
        <f t="shared" si="40"/>
        <v>-5.7999999999992724E-2</v>
      </c>
      <c r="AO51" s="62">
        <f t="shared" si="47"/>
        <v>-8.9999999999999344E-2</v>
      </c>
      <c r="AP51" s="62">
        <f t="shared" si="41"/>
        <v>-8.8000000000022283E-2</v>
      </c>
      <c r="AQ51" s="30">
        <f t="shared" si="4"/>
        <v>-5.2999999999997272E-2</v>
      </c>
    </row>
    <row r="52" spans="1:43" x14ac:dyDescent="0.25">
      <c r="A52" s="3">
        <v>162</v>
      </c>
      <c r="B52" s="60">
        <v>2284179.3849999998</v>
      </c>
      <c r="C52" s="60">
        <v>6121191.4100000001</v>
      </c>
      <c r="D52" s="60">
        <v>119.01300000000001</v>
      </c>
      <c r="E52" s="58" t="s">
        <v>24</v>
      </c>
      <c r="F52" s="27">
        <v>121.96899999999999</v>
      </c>
      <c r="G52" s="27">
        <v>121.655</v>
      </c>
      <c r="H52" s="27">
        <v>121.504</v>
      </c>
      <c r="I52" s="27">
        <v>121.001</v>
      </c>
      <c r="J52" s="27">
        <v>120.83</v>
      </c>
      <c r="K52" s="27">
        <v>120.529</v>
      </c>
      <c r="L52" s="27">
        <v>120.518</v>
      </c>
      <c r="M52" s="60">
        <v>119.934</v>
      </c>
      <c r="N52" s="27">
        <v>119.86499999999999</v>
      </c>
      <c r="O52" s="60">
        <v>119.78100000000001</v>
      </c>
      <c r="P52" s="60">
        <v>119.61</v>
      </c>
      <c r="Q52" s="60">
        <v>119.53400000000001</v>
      </c>
      <c r="R52" s="60">
        <v>119.54</v>
      </c>
      <c r="S52" s="60">
        <v>119.342</v>
      </c>
      <c r="T52" s="60">
        <v>119.372</v>
      </c>
      <c r="U52" s="60">
        <v>119.286</v>
      </c>
      <c r="V52" s="71">
        <v>119.27500000000001</v>
      </c>
      <c r="W52" s="71">
        <f t="shared" si="0"/>
        <v>119.01300000000001</v>
      </c>
      <c r="X52" s="89">
        <f t="shared" si="43"/>
        <v>-0.4649999999999892</v>
      </c>
      <c r="Y52" s="27">
        <f t="shared" si="44"/>
        <v>-0.67400000000000659</v>
      </c>
      <c r="Z52" s="29">
        <f t="shared" si="27"/>
        <v>-0.31199999999999761</v>
      </c>
      <c r="AA52" s="62">
        <f t="shared" si="28"/>
        <v>-0.6530000000000058</v>
      </c>
      <c r="AB52" s="62">
        <f t="shared" si="29"/>
        <v>-0.25499999999999545</v>
      </c>
      <c r="AC52" s="62">
        <f t="shared" si="35"/>
        <v>-6.9999999999993179E-2</v>
      </c>
      <c r="AD52" s="62">
        <f t="shared" si="36"/>
        <v>-0.16800000000000637</v>
      </c>
      <c r="AE52" s="62">
        <f t="shared" si="37"/>
        <v>-9.6999999999994202E-2</v>
      </c>
      <c r="AF52" s="71">
        <f t="shared" si="3"/>
        <v>-0.26200000000000045</v>
      </c>
      <c r="AG52" s="71">
        <f t="shared" si="42"/>
        <v>-0.32844444444444321</v>
      </c>
      <c r="AH52" s="45">
        <f t="shared" si="45"/>
        <v>-0.65399999999999636</v>
      </c>
      <c r="AI52" s="29">
        <f t="shared" si="46"/>
        <v>-0.47200000000000841</v>
      </c>
      <c r="AJ52" s="62">
        <f t="shared" si="32"/>
        <v>-0.59499999999999886</v>
      </c>
      <c r="AK52" s="62">
        <f t="shared" si="33"/>
        <v>-0.15299999999999159</v>
      </c>
      <c r="AL52" s="62">
        <f t="shared" si="38"/>
        <v>-0.24699999999999989</v>
      </c>
      <c r="AM52" s="62">
        <f t="shared" si="39"/>
        <v>-0.19200000000000728</v>
      </c>
      <c r="AN52" s="62">
        <f t="shared" si="40"/>
        <v>-5.5999999999997385E-2</v>
      </c>
      <c r="AO52" s="62">
        <f t="shared" si="47"/>
        <v>-0.33842857142857141</v>
      </c>
      <c r="AP52" s="62">
        <f t="shared" si="41"/>
        <v>-1.099999999999568E-2</v>
      </c>
      <c r="AQ52" s="62">
        <f t="shared" si="4"/>
        <v>-0.27299999999999613</v>
      </c>
    </row>
    <row r="53" spans="1:43" s="58" customFormat="1" x14ac:dyDescent="0.25">
      <c r="A53" s="3">
        <v>165</v>
      </c>
      <c r="B53" s="60">
        <v>2210796.608</v>
      </c>
      <c r="C53" s="60">
        <v>6330511.4630000005</v>
      </c>
      <c r="D53" s="60">
        <v>372.57600000000002</v>
      </c>
      <c r="E53" s="58" t="s">
        <v>99</v>
      </c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>
        <v>372.74</v>
      </c>
      <c r="S53" s="60">
        <v>372.68900000000002</v>
      </c>
      <c r="T53" s="60">
        <v>372.654</v>
      </c>
      <c r="U53" s="60">
        <v>372.714</v>
      </c>
      <c r="V53" s="71">
        <v>372.62900000000002</v>
      </c>
      <c r="W53" s="71">
        <f t="shared" si="0"/>
        <v>372.57600000000002</v>
      </c>
      <c r="X53" s="89"/>
      <c r="Y53" s="60"/>
      <c r="Z53" s="62"/>
      <c r="AA53" s="62"/>
      <c r="AB53" s="62"/>
      <c r="AC53" s="62" t="s">
        <v>100</v>
      </c>
      <c r="AD53" s="62">
        <f t="shared" si="36"/>
        <v>-8.6000000000012733E-2</v>
      </c>
      <c r="AE53" s="62">
        <f t="shared" si="37"/>
        <v>-2.4999999999977263E-2</v>
      </c>
      <c r="AF53" s="81">
        <f t="shared" si="3"/>
        <v>-5.2999999999997272E-2</v>
      </c>
      <c r="AG53" s="81">
        <f>(W53-R53)/3</f>
        <v>-5.4666666666662422E-2</v>
      </c>
      <c r="AH53" s="45"/>
      <c r="AI53" s="62"/>
      <c r="AJ53" s="62"/>
      <c r="AK53" s="62"/>
      <c r="AL53" s="62"/>
      <c r="AM53" s="62" t="s">
        <v>100</v>
      </c>
      <c r="AN53" s="62">
        <f t="shared" si="40"/>
        <v>2.4999999999977263E-2</v>
      </c>
      <c r="AO53" s="62"/>
      <c r="AP53" s="62">
        <f t="shared" si="41"/>
        <v>-8.4999999999979536E-2</v>
      </c>
      <c r="AQ53" s="62">
        <f t="shared" si="4"/>
        <v>-0.13799999999997681</v>
      </c>
    </row>
    <row r="54" spans="1:43" x14ac:dyDescent="0.25">
      <c r="A54" s="3">
        <v>170</v>
      </c>
      <c r="B54" s="60">
        <v>2335285.3369999998</v>
      </c>
      <c r="C54" s="60">
        <v>6066326.9510000004</v>
      </c>
      <c r="D54" s="60">
        <v>97.584000000000003</v>
      </c>
      <c r="E54" s="58" t="s">
        <v>70</v>
      </c>
      <c r="F54" s="27"/>
      <c r="G54" s="27"/>
      <c r="H54" s="27"/>
      <c r="I54" s="27"/>
      <c r="J54" s="27">
        <v>98.31</v>
      </c>
      <c r="K54" s="27">
        <v>98.35</v>
      </c>
      <c r="L54" s="27">
        <v>98.218000000000004</v>
      </c>
      <c r="M54" s="60">
        <v>97.980999999999995</v>
      </c>
      <c r="N54" s="27">
        <v>97.887</v>
      </c>
      <c r="O54" s="60">
        <v>97.936000000000007</v>
      </c>
      <c r="P54" s="60">
        <v>97.820999999999998</v>
      </c>
      <c r="Q54" s="60">
        <v>97.933000000000007</v>
      </c>
      <c r="R54" s="60">
        <v>97.9</v>
      </c>
      <c r="S54" s="60">
        <v>97.701999999999998</v>
      </c>
      <c r="T54" s="60">
        <v>97.795000000000002</v>
      </c>
      <c r="U54" s="60">
        <v>97.841999999999999</v>
      </c>
      <c r="V54" s="71">
        <v>97.808000000000007</v>
      </c>
      <c r="W54" s="71">
        <f t="shared" si="0"/>
        <v>97.584000000000003</v>
      </c>
      <c r="X54" s="89"/>
      <c r="Y54" s="27"/>
      <c r="Z54" s="29">
        <f>L54-J54</f>
        <v>-9.1999999999998749E-2</v>
      </c>
      <c r="AA54" s="62">
        <f>N54-L54</f>
        <v>-0.33100000000000307</v>
      </c>
      <c r="AB54" s="62">
        <f>P54-N54</f>
        <v>-6.6000000000002501E-2</v>
      </c>
      <c r="AC54" s="62">
        <f>R54-P54</f>
        <v>7.9000000000007731E-2</v>
      </c>
      <c r="AD54" s="62">
        <f t="shared" si="36"/>
        <v>-0.10500000000000398</v>
      </c>
      <c r="AE54" s="62">
        <f t="shared" si="37"/>
        <v>1.300000000000523E-2</v>
      </c>
      <c r="AF54" s="81">
        <f t="shared" si="3"/>
        <v>-0.22400000000000375</v>
      </c>
      <c r="AG54" s="81">
        <f>(W54-J54)/7</f>
        <v>-0.10371428571428558</v>
      </c>
      <c r="AH54" s="45"/>
      <c r="AI54" s="28"/>
      <c r="AJ54" s="62">
        <f>M54-K54</f>
        <v>-0.36899999999999977</v>
      </c>
      <c r="AK54" s="62">
        <f>O54-M54</f>
        <v>-4.4999999999987494E-2</v>
      </c>
      <c r="AL54" s="62">
        <f>Q54-O54</f>
        <v>-3.0000000000001137E-3</v>
      </c>
      <c r="AM54" s="62">
        <f>S54-Q54</f>
        <v>-0.23100000000000875</v>
      </c>
      <c r="AN54" s="62">
        <f t="shared" si="40"/>
        <v>0.14000000000000057</v>
      </c>
      <c r="AO54" s="61">
        <f>(U54-K54)/5</f>
        <v>-0.10159999999999911</v>
      </c>
      <c r="AP54" s="62">
        <f t="shared" si="41"/>
        <v>-3.3999999999991815E-2</v>
      </c>
      <c r="AQ54" s="62">
        <f t="shared" si="4"/>
        <v>-0.25799999999999557</v>
      </c>
    </row>
    <row r="55" spans="1:43" s="58" customFormat="1" x14ac:dyDescent="0.25">
      <c r="A55" s="16" t="s">
        <v>101</v>
      </c>
      <c r="B55" s="100">
        <v>2203302.84</v>
      </c>
      <c r="C55" s="100">
        <v>6176146.6529999999</v>
      </c>
      <c r="D55" s="100">
        <v>169.75399999999999</v>
      </c>
      <c r="E55" s="58" t="s">
        <v>108</v>
      </c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>
        <v>159.06299999999999</v>
      </c>
      <c r="R55" s="60">
        <v>159.12</v>
      </c>
      <c r="S55" s="60">
        <v>159.02199999999999</v>
      </c>
      <c r="T55" s="45">
        <f>170.166-11.23</f>
        <v>158.93600000000001</v>
      </c>
      <c r="U55" s="45">
        <f>170.12-11.23</f>
        <v>158.89000000000001</v>
      </c>
      <c r="V55" s="71">
        <f>169.93-11.23</f>
        <v>158.70000000000002</v>
      </c>
      <c r="W55" s="63">
        <f>D55-11.23</f>
        <v>158.524</v>
      </c>
      <c r="X55" s="89"/>
      <c r="Y55" s="60"/>
      <c r="Z55" s="62"/>
      <c r="AA55" s="62"/>
      <c r="AB55" s="62"/>
      <c r="AC55" s="62" t="s">
        <v>100</v>
      </c>
      <c r="AD55" s="62">
        <f t="shared" si="36"/>
        <v>-0.1839999999999975</v>
      </c>
      <c r="AE55" s="62">
        <f t="shared" si="37"/>
        <v>-0.23599999999999</v>
      </c>
      <c r="AF55" s="112">
        <f t="shared" si="3"/>
        <v>-0.17600000000001614</v>
      </c>
      <c r="AG55" s="81">
        <f>(W55-R55)/3</f>
        <v>-0.19866666666666788</v>
      </c>
      <c r="AH55" s="45"/>
      <c r="AI55" s="61"/>
      <c r="AJ55" s="62"/>
      <c r="AK55" s="62"/>
      <c r="AL55" s="62"/>
      <c r="AM55" s="62">
        <f>S55-Q55</f>
        <v>-4.0999999999996817E-2</v>
      </c>
      <c r="AN55" s="62">
        <f t="shared" si="40"/>
        <v>-0.13199999999997658</v>
      </c>
      <c r="AO55" s="61"/>
      <c r="AP55" s="62">
        <f t="shared" si="41"/>
        <v>-0.18999999999999773</v>
      </c>
      <c r="AQ55" s="30">
        <f t="shared" si="4"/>
        <v>-0.36600000000001387</v>
      </c>
    </row>
    <row r="56" spans="1:43" s="58" customFormat="1" x14ac:dyDescent="0.25">
      <c r="A56" s="3">
        <v>202</v>
      </c>
      <c r="B56" s="60">
        <v>2178457.8820000002</v>
      </c>
      <c r="C56" s="60">
        <v>6331655.0460000001</v>
      </c>
      <c r="D56" s="60">
        <v>324.01100000000002</v>
      </c>
      <c r="E56" s="58" t="s">
        <v>52</v>
      </c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>
        <v>324</v>
      </c>
      <c r="S56" s="60">
        <v>324.01900000000001</v>
      </c>
      <c r="T56" s="60">
        <v>323.95800000000003</v>
      </c>
      <c r="U56" s="60">
        <v>324.03100000000001</v>
      </c>
      <c r="V56" s="71">
        <v>323.94900000000001</v>
      </c>
      <c r="W56" s="71">
        <f t="shared" si="0"/>
        <v>324.01100000000002</v>
      </c>
      <c r="X56" s="89"/>
      <c r="Y56" s="60"/>
      <c r="Z56" s="62"/>
      <c r="AA56" s="62"/>
      <c r="AB56" s="62"/>
      <c r="AC56" s="62" t="s">
        <v>100</v>
      </c>
      <c r="AD56" s="62">
        <f t="shared" si="36"/>
        <v>-4.199999999997317E-2</v>
      </c>
      <c r="AE56" s="62">
        <f t="shared" si="37"/>
        <v>-9.0000000000145519E-3</v>
      </c>
      <c r="AF56" s="81">
        <f t="shared" si="3"/>
        <v>6.2000000000011823E-2</v>
      </c>
      <c r="AG56" s="81">
        <f>(W56-R56)/3</f>
        <v>3.6666666666747005E-3</v>
      </c>
      <c r="AH56" s="45"/>
      <c r="AI56" s="61"/>
      <c r="AJ56" s="62"/>
      <c r="AK56" s="62"/>
      <c r="AL56" s="62"/>
      <c r="AM56" s="62" t="s">
        <v>100</v>
      </c>
      <c r="AN56" s="62">
        <f t="shared" si="40"/>
        <v>1.2000000000000455E-2</v>
      </c>
      <c r="AO56" s="61"/>
      <c r="AP56" s="62">
        <f t="shared" si="41"/>
        <v>-8.1999999999993634E-2</v>
      </c>
      <c r="AQ56" s="30">
        <f t="shared" si="4"/>
        <v>-1.999999999998181E-2</v>
      </c>
    </row>
    <row r="57" spans="1:43" x14ac:dyDescent="0.25">
      <c r="A57" s="3" t="s">
        <v>25</v>
      </c>
      <c r="B57" s="60">
        <v>2224869.077</v>
      </c>
      <c r="C57" s="60">
        <v>6157684.9249999998</v>
      </c>
      <c r="D57" s="60">
        <v>144.61199999999999</v>
      </c>
      <c r="E57" s="58" t="s">
        <v>59</v>
      </c>
      <c r="F57" s="27"/>
      <c r="G57" s="27">
        <v>147.34100000000001</v>
      </c>
      <c r="H57" s="27">
        <v>147.33600000000001</v>
      </c>
      <c r="I57" s="27">
        <v>147.184</v>
      </c>
      <c r="J57" s="27">
        <v>146.96700000000001</v>
      </c>
      <c r="K57" s="27">
        <v>146.685</v>
      </c>
      <c r="L57" s="27">
        <v>146.64500000000001</v>
      </c>
      <c r="M57" s="60">
        <v>146.285</v>
      </c>
      <c r="N57" s="27">
        <v>146.179</v>
      </c>
      <c r="O57" s="60">
        <v>145.917</v>
      </c>
      <c r="P57" s="60">
        <v>145.63900000000001</v>
      </c>
      <c r="Q57" s="60">
        <v>145.392</v>
      </c>
      <c r="R57" s="60">
        <v>145.34</v>
      </c>
      <c r="S57" s="60">
        <v>145.19</v>
      </c>
      <c r="T57" s="60">
        <v>145.06800000000001</v>
      </c>
      <c r="U57" s="60">
        <v>144.89699999999999</v>
      </c>
      <c r="V57" s="71">
        <v>144.81299999999999</v>
      </c>
      <c r="W57" s="71">
        <f t="shared" si="0"/>
        <v>144.61199999999999</v>
      </c>
      <c r="X57" s="32"/>
      <c r="Y57" s="27">
        <f>J57-H57</f>
        <v>-0.36899999999999977</v>
      </c>
      <c r="Z57" s="29">
        <f t="shared" ref="Z57:Z75" si="48">L57-J57</f>
        <v>-0.32200000000000273</v>
      </c>
      <c r="AA57" s="62">
        <f t="shared" ref="AA57:AA75" si="49">N57-L57</f>
        <v>-0.46600000000000819</v>
      </c>
      <c r="AB57" s="62">
        <f t="shared" ref="AB57:AB75" si="50">P57-N57</f>
        <v>-0.53999999999999204</v>
      </c>
      <c r="AC57" s="62">
        <f t="shared" ref="AC57:AC81" si="51">R57-P57</f>
        <v>-0.29900000000000659</v>
      </c>
      <c r="AD57" s="62">
        <f t="shared" si="36"/>
        <v>-0.27199999999999136</v>
      </c>
      <c r="AE57" s="62">
        <f t="shared" si="37"/>
        <v>-0.25500000000002387</v>
      </c>
      <c r="AF57" s="81">
        <f t="shared" si="3"/>
        <v>-0.20099999999999341</v>
      </c>
      <c r="AG57" s="81">
        <f>(W57-H57)/8</f>
        <v>-0.34050000000000225</v>
      </c>
      <c r="AH57" s="45">
        <f t="shared" ref="AH57:AH74" si="52">I57-G57</f>
        <v>-0.15700000000001069</v>
      </c>
      <c r="AI57" s="29">
        <f t="shared" ref="AI57:AI74" si="53">K57-I57</f>
        <v>-0.49899999999999523</v>
      </c>
      <c r="AJ57" s="62">
        <f t="shared" ref="AJ57:AJ75" si="54">M57-K57</f>
        <v>-0.40000000000000568</v>
      </c>
      <c r="AK57" s="62">
        <f t="shared" ref="AK57:AK75" si="55">O57-M57</f>
        <v>-0.367999999999995</v>
      </c>
      <c r="AL57" s="62">
        <f t="shared" ref="AL57:AL82" si="56">Q57-O57</f>
        <v>-0.52500000000000568</v>
      </c>
      <c r="AM57" s="62">
        <f t="shared" ref="AM57:AM75" si="57">S57-Q57</f>
        <v>-0.20199999999999818</v>
      </c>
      <c r="AN57" s="62">
        <f t="shared" si="40"/>
        <v>-0.29300000000000637</v>
      </c>
      <c r="AO57" s="62">
        <f t="shared" ref="AO57:AO74" si="58">(U57-$G57)/7</f>
        <v>-0.34914285714285953</v>
      </c>
      <c r="AP57" s="62">
        <f t="shared" si="41"/>
        <v>-8.4000000000003183E-2</v>
      </c>
      <c r="AQ57" s="30">
        <f t="shared" si="4"/>
        <v>-0.28499999999999659</v>
      </c>
    </row>
    <row r="58" spans="1:43" x14ac:dyDescent="0.25">
      <c r="A58" s="3">
        <v>1009</v>
      </c>
      <c r="B58" s="60">
        <v>2233366.81</v>
      </c>
      <c r="C58" s="60">
        <v>6122386.6540000001</v>
      </c>
      <c r="D58" s="60">
        <v>127.345</v>
      </c>
      <c r="E58" s="58" t="s">
        <v>26</v>
      </c>
      <c r="F58" s="27"/>
      <c r="G58" s="27">
        <v>129.36199999999999</v>
      </c>
      <c r="H58" s="27">
        <v>129.34100000000001</v>
      </c>
      <c r="I58" s="27">
        <v>129.16800000000001</v>
      </c>
      <c r="J58" s="27">
        <v>129.04</v>
      </c>
      <c r="K58" s="27">
        <v>128.79599999999999</v>
      </c>
      <c r="L58" s="27">
        <v>128.77099999999999</v>
      </c>
      <c r="M58" s="60">
        <v>128.34299999999999</v>
      </c>
      <c r="N58" s="27">
        <v>128.22399999999999</v>
      </c>
      <c r="O58" s="60">
        <v>128.14699999999999</v>
      </c>
      <c r="P58" s="60">
        <v>127.974</v>
      </c>
      <c r="Q58" s="60">
        <v>127.825</v>
      </c>
      <c r="R58" s="89">
        <v>127.84</v>
      </c>
      <c r="S58" s="60">
        <v>127.761</v>
      </c>
      <c r="T58" s="60">
        <v>127.669</v>
      </c>
      <c r="U58" s="60">
        <v>127.593</v>
      </c>
      <c r="V58" s="71">
        <v>127.506</v>
      </c>
      <c r="W58" s="71">
        <f t="shared" si="0"/>
        <v>127.345</v>
      </c>
      <c r="X58" s="32"/>
      <c r="Y58" s="27">
        <f>J58-H58</f>
        <v>-0.30100000000001614</v>
      </c>
      <c r="Z58" s="29">
        <f t="shared" si="48"/>
        <v>-0.26900000000000546</v>
      </c>
      <c r="AA58" s="62">
        <f t="shared" si="49"/>
        <v>-0.54699999999999704</v>
      </c>
      <c r="AB58" s="62">
        <f t="shared" si="50"/>
        <v>-0.24999999999998579</v>
      </c>
      <c r="AC58" s="62">
        <f t="shared" si="51"/>
        <v>-0.13400000000000034</v>
      </c>
      <c r="AD58" s="62">
        <f t="shared" si="36"/>
        <v>-0.17100000000000648</v>
      </c>
      <c r="AE58" s="62">
        <f t="shared" si="37"/>
        <v>-0.1629999999999967</v>
      </c>
      <c r="AF58" s="81">
        <f t="shared" si="3"/>
        <v>-0.16100000000000136</v>
      </c>
      <c r="AG58" s="81">
        <f t="shared" ref="AG58:AG73" si="59">(W58-H58)/8</f>
        <v>-0.24950000000000117</v>
      </c>
      <c r="AH58" s="45">
        <f t="shared" si="52"/>
        <v>-0.1939999999999884</v>
      </c>
      <c r="AI58" s="29">
        <f t="shared" si="53"/>
        <v>-0.3720000000000141</v>
      </c>
      <c r="AJ58" s="62">
        <f t="shared" si="54"/>
        <v>-0.45300000000000296</v>
      </c>
      <c r="AK58" s="62">
        <f t="shared" si="55"/>
        <v>-0.19599999999999795</v>
      </c>
      <c r="AL58" s="62">
        <f t="shared" si="56"/>
        <v>-0.32199999999998852</v>
      </c>
      <c r="AM58" s="62">
        <f t="shared" si="57"/>
        <v>-6.4000000000007162E-2</v>
      </c>
      <c r="AN58" s="62">
        <f t="shared" si="40"/>
        <v>-0.16799999999999216</v>
      </c>
      <c r="AO58" s="62">
        <f t="shared" si="58"/>
        <v>-0.25271428571428445</v>
      </c>
      <c r="AP58" s="62">
        <f t="shared" si="41"/>
        <v>-8.7000000000003297E-2</v>
      </c>
      <c r="AQ58" s="30">
        <f t="shared" si="4"/>
        <v>-0.24800000000000466</v>
      </c>
    </row>
    <row r="59" spans="1:43" x14ac:dyDescent="0.25">
      <c r="A59" s="16" t="s">
        <v>71</v>
      </c>
      <c r="B59" s="100">
        <v>2241368.2030000002</v>
      </c>
      <c r="C59" s="100">
        <v>6157691.7879999997</v>
      </c>
      <c r="D59" s="119">
        <v>149.994</v>
      </c>
      <c r="E59" s="7" t="s">
        <v>72</v>
      </c>
      <c r="F59" s="27"/>
      <c r="G59" s="27">
        <v>146.97800000000001</v>
      </c>
      <c r="H59" s="27">
        <v>146.69900000000001</v>
      </c>
      <c r="I59" s="27">
        <v>146.33199999999999</v>
      </c>
      <c r="J59" s="27">
        <v>146.06</v>
      </c>
      <c r="K59" s="27">
        <v>145.648</v>
      </c>
      <c r="L59" s="31">
        <v>145.47199999999998</v>
      </c>
      <c r="M59" s="60">
        <v>144.94</v>
      </c>
      <c r="N59" s="31">
        <v>144.69399999999999</v>
      </c>
      <c r="O59" s="63">
        <v>144.30799999999999</v>
      </c>
      <c r="P59" s="71">
        <f>151.84-7.877</f>
        <v>143.96299999999999</v>
      </c>
      <c r="Q59" s="60">
        <f>151.493-7.877</f>
        <v>143.61599999999999</v>
      </c>
      <c r="R59" s="60">
        <f>151.35-7.877</f>
        <v>143.47299999999998</v>
      </c>
      <c r="S59" s="60">
        <f>150.974-7.877</f>
        <v>143.09699999999998</v>
      </c>
      <c r="T59" s="60">
        <f>150.817-7.877</f>
        <v>142.94</v>
      </c>
      <c r="U59" s="60">
        <f>150.5-7.877</f>
        <v>142.62299999999999</v>
      </c>
      <c r="V59" s="71">
        <f>150.364-7.877</f>
        <v>142.48699999999999</v>
      </c>
      <c r="W59" s="71">
        <f>D59-7.877</f>
        <v>142.11699999999999</v>
      </c>
      <c r="X59" s="32"/>
      <c r="Y59" s="27">
        <f>J59-H59</f>
        <v>-0.63900000000001</v>
      </c>
      <c r="Z59" s="29">
        <f t="shared" si="48"/>
        <v>-0.58800000000002228</v>
      </c>
      <c r="AA59" s="62">
        <f t="shared" si="49"/>
        <v>-0.77799999999999159</v>
      </c>
      <c r="AB59" s="62">
        <f t="shared" si="50"/>
        <v>-0.73099999999999454</v>
      </c>
      <c r="AC59" s="62">
        <f t="shared" si="51"/>
        <v>-0.49000000000000909</v>
      </c>
      <c r="AD59" s="62">
        <f t="shared" si="36"/>
        <v>-0.53299999999998704</v>
      </c>
      <c r="AE59" s="62">
        <f t="shared" si="37"/>
        <v>-0.45300000000000296</v>
      </c>
      <c r="AF59" s="81">
        <f t="shared" si="3"/>
        <v>-0.37000000000000455</v>
      </c>
      <c r="AG59" s="81">
        <f t="shared" si="59"/>
        <v>-0.57275000000000276</v>
      </c>
      <c r="AH59" s="45">
        <f t="shared" si="52"/>
        <v>-0.64600000000001501</v>
      </c>
      <c r="AI59" s="29">
        <f t="shared" si="53"/>
        <v>-0.6839999999999975</v>
      </c>
      <c r="AJ59" s="62">
        <f t="shared" si="54"/>
        <v>-0.70799999999999841</v>
      </c>
      <c r="AK59" s="62">
        <f t="shared" si="55"/>
        <v>-0.632000000000005</v>
      </c>
      <c r="AL59" s="62">
        <f t="shared" si="56"/>
        <v>-0.69200000000000728</v>
      </c>
      <c r="AM59" s="62">
        <f t="shared" si="57"/>
        <v>-0.51900000000000546</v>
      </c>
      <c r="AN59" s="62">
        <f t="shared" si="40"/>
        <v>-0.47399999999998954</v>
      </c>
      <c r="AO59" s="62">
        <f t="shared" si="58"/>
        <v>-0.62214285714285977</v>
      </c>
      <c r="AP59" s="62">
        <f t="shared" si="41"/>
        <v>-0.13599999999999568</v>
      </c>
      <c r="AQ59" s="30">
        <f t="shared" si="4"/>
        <v>-0.50600000000000023</v>
      </c>
    </row>
    <row r="60" spans="1:43" x14ac:dyDescent="0.25">
      <c r="A60" s="16" t="s">
        <v>73</v>
      </c>
      <c r="B60" s="100">
        <v>2248691.7489999998</v>
      </c>
      <c r="C60" s="100">
        <v>6157718.2539999997</v>
      </c>
      <c r="D60" s="100">
        <v>147.88800000000001</v>
      </c>
      <c r="E60" s="58" t="s">
        <v>74</v>
      </c>
      <c r="F60" s="27"/>
      <c r="G60" s="27">
        <v>150.52699999999999</v>
      </c>
      <c r="H60" s="27">
        <v>150.34200000000001</v>
      </c>
      <c r="I60" s="27">
        <v>149.84899999999999</v>
      </c>
      <c r="J60" s="27">
        <v>149.59</v>
      </c>
      <c r="K60" s="27">
        <v>149.07900000000001</v>
      </c>
      <c r="L60" s="31">
        <v>148.91300000000001</v>
      </c>
      <c r="M60" s="60">
        <v>148.28</v>
      </c>
      <c r="N60" s="31">
        <v>148.04000000000002</v>
      </c>
      <c r="O60" s="63">
        <v>147.69800000000001</v>
      </c>
      <c r="P60" s="71">
        <f>149.545-2.177</f>
        <v>147.36799999999999</v>
      </c>
      <c r="Q60" s="60">
        <f>149.229-2.177</f>
        <v>147.05200000000002</v>
      </c>
      <c r="R60" s="60">
        <f>149.15-2.177</f>
        <v>146.97300000000001</v>
      </c>
      <c r="S60" s="60">
        <f>148.796-2.177</f>
        <v>146.619</v>
      </c>
      <c r="T60" s="60">
        <f>148.613-2.177</f>
        <v>146.43600000000001</v>
      </c>
      <c r="U60" s="60">
        <f>148.34-2.177</f>
        <v>146.16300000000001</v>
      </c>
      <c r="V60" s="71">
        <f>148.248-2.177</f>
        <v>146.071</v>
      </c>
      <c r="W60" s="63">
        <f>D60-2.177</f>
        <v>145.71100000000001</v>
      </c>
      <c r="X60" s="32"/>
      <c r="Y60" s="27">
        <f>(I60-D61)/(31/12)</f>
        <v>10.037419354838706</v>
      </c>
      <c r="Z60" s="29">
        <f t="shared" si="48"/>
        <v>-0.6769999999999925</v>
      </c>
      <c r="AA60" s="62">
        <f t="shared" si="49"/>
        <v>-0.87299999999999045</v>
      </c>
      <c r="AB60" s="62">
        <f t="shared" si="50"/>
        <v>-0.67200000000002547</v>
      </c>
      <c r="AC60" s="62">
        <f t="shared" si="51"/>
        <v>-0.39499999999998181</v>
      </c>
      <c r="AD60" s="62">
        <f t="shared" si="36"/>
        <v>-0.53700000000000614</v>
      </c>
      <c r="AE60" s="62">
        <f t="shared" si="37"/>
        <v>-0.36500000000000909</v>
      </c>
      <c r="AF60" s="112">
        <f t="shared" si="3"/>
        <v>-0.35999999999998522</v>
      </c>
      <c r="AG60" s="81">
        <f t="shared" si="59"/>
        <v>-0.57887500000000003</v>
      </c>
      <c r="AH60" s="45">
        <f t="shared" si="52"/>
        <v>-0.67799999999999727</v>
      </c>
      <c r="AI60" s="29">
        <f t="shared" si="53"/>
        <v>-0.76999999999998181</v>
      </c>
      <c r="AJ60" s="62">
        <f t="shared" si="54"/>
        <v>-0.79900000000000659</v>
      </c>
      <c r="AK60" s="62">
        <f t="shared" si="55"/>
        <v>-0.58199999999999363</v>
      </c>
      <c r="AL60" s="62">
        <f t="shared" si="56"/>
        <v>-0.64599999999998658</v>
      </c>
      <c r="AM60" s="62">
        <f t="shared" si="57"/>
        <v>-0.43300000000002115</v>
      </c>
      <c r="AN60" s="62">
        <f t="shared" si="40"/>
        <v>-0.45599999999998886</v>
      </c>
      <c r="AO60" s="62">
        <f t="shared" si="58"/>
        <v>-0.623428571428568</v>
      </c>
      <c r="AP60" s="62">
        <f t="shared" si="41"/>
        <v>-9.200000000001296E-2</v>
      </c>
      <c r="AQ60" s="30">
        <f t="shared" si="4"/>
        <v>-0.45199999999999818</v>
      </c>
    </row>
    <row r="61" spans="1:43" x14ac:dyDescent="0.25">
      <c r="A61" s="16" t="s">
        <v>75</v>
      </c>
      <c r="B61" s="100">
        <v>2265037.6</v>
      </c>
      <c r="C61" s="100">
        <v>6131551.5279999999</v>
      </c>
      <c r="D61" s="100">
        <v>123.919</v>
      </c>
      <c r="E61" s="58" t="s">
        <v>80</v>
      </c>
      <c r="F61" s="27"/>
      <c r="G61" s="27">
        <v>129.16399999999999</v>
      </c>
      <c r="H61" s="27">
        <v>128.91300000000001</v>
      </c>
      <c r="I61" s="27">
        <v>128.45699999999999</v>
      </c>
      <c r="J61" s="27">
        <v>128.07</v>
      </c>
      <c r="K61" s="27">
        <v>127.67699999999999</v>
      </c>
      <c r="L61" s="31">
        <v>127.48399999999999</v>
      </c>
      <c r="M61" s="60">
        <v>126.79</v>
      </c>
      <c r="N61" s="31">
        <v>126.55799999999999</v>
      </c>
      <c r="O61" s="63">
        <v>126.276</v>
      </c>
      <c r="P61" s="71">
        <f>125.336+0.663</f>
        <v>125.999</v>
      </c>
      <c r="Q61" s="60">
        <f>125.153+0.663</f>
        <v>125.816</v>
      </c>
      <c r="R61" s="60">
        <f>124.96+0.663</f>
        <v>125.62299999999999</v>
      </c>
      <c r="S61" s="60">
        <f>124.727+0.663</f>
        <v>125.39</v>
      </c>
      <c r="T61" s="60">
        <f>124.682+0.663</f>
        <v>125.345</v>
      </c>
      <c r="U61" s="60">
        <f>124.57+0.663</f>
        <v>125.23299999999999</v>
      </c>
      <c r="V61" s="71">
        <f>124.516+0.663</f>
        <v>125.179</v>
      </c>
      <c r="W61" s="63">
        <f>D61+0.663</f>
        <v>124.58199999999999</v>
      </c>
      <c r="X61" s="32"/>
      <c r="Y61" s="27">
        <f>(I61-D62)/(31/12)</f>
        <v>1.9184516129032214</v>
      </c>
      <c r="Z61" s="29">
        <f t="shared" si="48"/>
        <v>-0.58599999999999852</v>
      </c>
      <c r="AA61" s="62">
        <f t="shared" si="49"/>
        <v>-0.92600000000000193</v>
      </c>
      <c r="AB61" s="62">
        <f t="shared" si="50"/>
        <v>-0.5589999999999975</v>
      </c>
      <c r="AC61" s="62">
        <f t="shared" si="51"/>
        <v>-0.37600000000000477</v>
      </c>
      <c r="AD61" s="62">
        <f t="shared" si="36"/>
        <v>-0.27799999999999159</v>
      </c>
      <c r="AE61" s="62">
        <f t="shared" si="37"/>
        <v>-0.16599999999999682</v>
      </c>
      <c r="AF61" s="112">
        <f t="shared" si="3"/>
        <v>-0.59700000000000841</v>
      </c>
      <c r="AG61" s="81">
        <f t="shared" si="59"/>
        <v>-0.54137500000000216</v>
      </c>
      <c r="AH61" s="45">
        <f t="shared" si="52"/>
        <v>-0.70699999999999363</v>
      </c>
      <c r="AI61" s="29">
        <f t="shared" si="53"/>
        <v>-0.78000000000000114</v>
      </c>
      <c r="AJ61" s="62">
        <f t="shared" si="54"/>
        <v>-0.88699999999998624</v>
      </c>
      <c r="AK61" s="62">
        <f t="shared" si="55"/>
        <v>-0.51400000000001</v>
      </c>
      <c r="AL61" s="62">
        <f t="shared" si="56"/>
        <v>-0.45999999999999375</v>
      </c>
      <c r="AM61" s="62">
        <f t="shared" si="57"/>
        <v>-0.42600000000000193</v>
      </c>
      <c r="AN61" s="62">
        <f t="shared" si="40"/>
        <v>-0.15700000000001069</v>
      </c>
      <c r="AO61" s="62">
        <f t="shared" si="58"/>
        <v>-0.56157142857142817</v>
      </c>
      <c r="AP61" s="62">
        <f t="shared" si="41"/>
        <v>-5.3999999999987836E-2</v>
      </c>
      <c r="AQ61" s="30">
        <f t="shared" si="4"/>
        <v>-0.65099999999999625</v>
      </c>
    </row>
    <row r="62" spans="1:43" x14ac:dyDescent="0.25">
      <c r="A62" s="3">
        <v>1108</v>
      </c>
      <c r="B62" s="60">
        <v>2361311.96</v>
      </c>
      <c r="C62" s="60">
        <v>6086633.8190000001</v>
      </c>
      <c r="D62" s="60">
        <v>123.501</v>
      </c>
      <c r="E62" s="58" t="s">
        <v>27</v>
      </c>
      <c r="F62" s="27"/>
      <c r="G62" s="27">
        <v>123.736</v>
      </c>
      <c r="H62" s="27">
        <v>123.759</v>
      </c>
      <c r="I62" s="27">
        <v>123.726</v>
      </c>
      <c r="J62" s="27">
        <v>123.63</v>
      </c>
      <c r="K62" s="27">
        <v>123.74</v>
      </c>
      <c r="L62" s="27">
        <v>123.747</v>
      </c>
      <c r="M62" s="60">
        <v>123.61199999999999</v>
      </c>
      <c r="N62" s="27">
        <v>123.55200000000001</v>
      </c>
      <c r="O62" s="60">
        <v>123.684</v>
      </c>
      <c r="P62" s="60">
        <v>123.616</v>
      </c>
      <c r="Q62" s="60">
        <v>123.72499999999999</v>
      </c>
      <c r="R62" s="89">
        <v>123.59</v>
      </c>
      <c r="S62" s="60">
        <v>123.447</v>
      </c>
      <c r="T62" s="60">
        <v>123.56</v>
      </c>
      <c r="U62" s="60">
        <v>123.581</v>
      </c>
      <c r="V62" s="71">
        <v>123.637</v>
      </c>
      <c r="W62" s="71">
        <f t="shared" si="0"/>
        <v>123.501</v>
      </c>
      <c r="X62" s="32"/>
      <c r="Y62" s="27">
        <f t="shared" ref="Y62:Y74" si="60">J62-H62</f>
        <v>-0.12900000000000489</v>
      </c>
      <c r="Z62" s="29">
        <f t="shared" si="48"/>
        <v>0.11700000000000443</v>
      </c>
      <c r="AA62" s="62">
        <f t="shared" si="49"/>
        <v>-0.19499999999999318</v>
      </c>
      <c r="AB62" s="62">
        <f t="shared" si="50"/>
        <v>6.3999999999992951E-2</v>
      </c>
      <c r="AC62" s="62">
        <f t="shared" si="51"/>
        <v>-2.5999999999996248E-2</v>
      </c>
      <c r="AD62" s="62">
        <f t="shared" si="36"/>
        <v>-3.0000000000001137E-2</v>
      </c>
      <c r="AE62" s="62">
        <f t="shared" si="37"/>
        <v>7.6999999999998181E-2</v>
      </c>
      <c r="AF62" s="81">
        <f t="shared" si="3"/>
        <v>-0.13599999999999568</v>
      </c>
      <c r="AG62" s="81">
        <f t="shared" si="59"/>
        <v>-3.2249999999999446E-2</v>
      </c>
      <c r="AH62" s="45">
        <f t="shared" si="52"/>
        <v>-1.0000000000005116E-2</v>
      </c>
      <c r="AI62" s="29">
        <f t="shared" si="53"/>
        <v>1.3999999999995794E-2</v>
      </c>
      <c r="AJ62" s="62">
        <f t="shared" si="54"/>
        <v>-0.12800000000000011</v>
      </c>
      <c r="AK62" s="62">
        <f t="shared" si="55"/>
        <v>7.2000000000002728E-2</v>
      </c>
      <c r="AL62" s="62">
        <f t="shared" si="56"/>
        <v>4.0999999999996817E-2</v>
      </c>
      <c r="AM62" s="62">
        <f t="shared" si="57"/>
        <v>-0.27799999999999159</v>
      </c>
      <c r="AN62" s="62">
        <f t="shared" si="40"/>
        <v>0.13400000000000034</v>
      </c>
      <c r="AO62" s="62">
        <f t="shared" si="58"/>
        <v>-2.2142857142857304E-2</v>
      </c>
      <c r="AP62" s="62">
        <f t="shared" si="41"/>
        <v>5.5999999999997385E-2</v>
      </c>
      <c r="AQ62" s="62">
        <f t="shared" si="4"/>
        <v>-7.9999999999998295E-2</v>
      </c>
    </row>
    <row r="63" spans="1:43" x14ac:dyDescent="0.25">
      <c r="A63" s="54">
        <v>2062</v>
      </c>
      <c r="B63" s="132" t="s">
        <v>125</v>
      </c>
      <c r="C63" s="131"/>
      <c r="D63" s="109"/>
      <c r="E63" s="7" t="s">
        <v>111</v>
      </c>
      <c r="F63" s="27"/>
      <c r="G63" s="27">
        <v>141.27699999999999</v>
      </c>
      <c r="H63" s="27">
        <v>141.29400000000001</v>
      </c>
      <c r="I63" s="27">
        <v>141.07400000000001</v>
      </c>
      <c r="J63" s="27">
        <v>140.94999999999999</v>
      </c>
      <c r="K63" s="27">
        <v>140.65</v>
      </c>
      <c r="L63" s="27">
        <v>140.62899999999999</v>
      </c>
      <c r="M63" s="60">
        <v>140.28899999999999</v>
      </c>
      <c r="N63" s="27">
        <v>140.125</v>
      </c>
      <c r="O63" s="60">
        <v>139.88900000000001</v>
      </c>
      <c r="P63" s="60">
        <v>139.65100000000001</v>
      </c>
      <c r="Q63" s="60">
        <v>139.48699999999999</v>
      </c>
      <c r="R63" s="60">
        <v>139.41999999999999</v>
      </c>
      <c r="S63" s="60">
        <v>139.22499999999999</v>
      </c>
      <c r="T63" s="95"/>
      <c r="U63" s="60">
        <v>139.03100000000001</v>
      </c>
      <c r="V63" s="71">
        <v>138.83099999999999</v>
      </c>
      <c r="W63" s="71"/>
      <c r="X63" s="32"/>
      <c r="Y63" s="27">
        <f t="shared" si="60"/>
        <v>-0.34400000000002251</v>
      </c>
      <c r="Z63" s="29">
        <f t="shared" si="48"/>
        <v>-0.32099999999999795</v>
      </c>
      <c r="AA63" s="62">
        <f t="shared" si="49"/>
        <v>-0.50399999999999068</v>
      </c>
      <c r="AB63" s="62">
        <f t="shared" si="50"/>
        <v>-0.47399999999998954</v>
      </c>
      <c r="AC63" s="62">
        <f t="shared" si="51"/>
        <v>-0.23100000000002296</v>
      </c>
      <c r="AD63" s="62"/>
      <c r="AE63" s="62"/>
      <c r="AF63" s="81"/>
      <c r="AG63" s="81"/>
      <c r="AH63" s="45">
        <f t="shared" si="52"/>
        <v>-0.20299999999997453</v>
      </c>
      <c r="AI63" s="29">
        <f t="shared" si="53"/>
        <v>-0.42400000000000659</v>
      </c>
      <c r="AJ63" s="62">
        <f t="shared" si="54"/>
        <v>-0.36100000000001842</v>
      </c>
      <c r="AK63" s="62">
        <f t="shared" si="55"/>
        <v>-0.39999999999997726</v>
      </c>
      <c r="AL63" s="62">
        <f t="shared" si="56"/>
        <v>-0.40200000000001523</v>
      </c>
      <c r="AM63" s="62">
        <f t="shared" si="57"/>
        <v>-0.26200000000000045</v>
      </c>
      <c r="AN63" s="62">
        <f t="shared" si="40"/>
        <v>-0.1939999999999884</v>
      </c>
      <c r="AO63" s="62">
        <f t="shared" si="58"/>
        <v>-0.32085714285714012</v>
      </c>
      <c r="AP63" s="62">
        <f t="shared" si="41"/>
        <v>-0.20000000000001705</v>
      </c>
      <c r="AQ63" s="62"/>
    </row>
    <row r="64" spans="1:43" x14ac:dyDescent="0.25">
      <c r="A64" s="3">
        <v>2065</v>
      </c>
      <c r="B64" s="60">
        <v>2322679.3960000002</v>
      </c>
      <c r="C64" s="60">
        <v>6128257.3590000002</v>
      </c>
      <c r="D64" s="60">
        <v>143.82400000000001</v>
      </c>
      <c r="E64" s="58" t="s">
        <v>28</v>
      </c>
      <c r="F64" s="27"/>
      <c r="G64" s="27">
        <v>145.958</v>
      </c>
      <c r="H64" s="27">
        <v>145.98500000000001</v>
      </c>
      <c r="I64" s="27">
        <v>145.684</v>
      </c>
      <c r="J64" s="27">
        <v>145.55000000000001</v>
      </c>
      <c r="K64" s="27">
        <v>145.36000000000001</v>
      </c>
      <c r="L64" s="27">
        <v>145.32400000000001</v>
      </c>
      <c r="M64" s="60">
        <v>144.81899999999999</v>
      </c>
      <c r="N64" s="27">
        <v>144.749</v>
      </c>
      <c r="O64" s="60">
        <v>144.72800000000001</v>
      </c>
      <c r="P64" s="60">
        <v>144.58699999999999</v>
      </c>
      <c r="Q64" s="60">
        <v>144.50800000000001</v>
      </c>
      <c r="R64" s="60">
        <v>144.43</v>
      </c>
      <c r="S64" s="60">
        <v>144.16399999999999</v>
      </c>
      <c r="T64" s="60">
        <v>144.262</v>
      </c>
      <c r="U64" s="60">
        <v>144.108</v>
      </c>
      <c r="V64" s="71">
        <v>144.12100000000001</v>
      </c>
      <c r="W64" s="71">
        <f t="shared" si="0"/>
        <v>143.82400000000001</v>
      </c>
      <c r="X64" s="32"/>
      <c r="Y64" s="27">
        <f t="shared" si="60"/>
        <v>-0.43500000000000227</v>
      </c>
      <c r="Z64" s="29">
        <f t="shared" si="48"/>
        <v>-0.22599999999999909</v>
      </c>
      <c r="AA64" s="62">
        <f t="shared" si="49"/>
        <v>-0.57500000000001705</v>
      </c>
      <c r="AB64" s="62">
        <f t="shared" si="50"/>
        <v>-0.16200000000000614</v>
      </c>
      <c r="AC64" s="62">
        <f t="shared" si="51"/>
        <v>-0.15699999999998226</v>
      </c>
      <c r="AD64" s="62">
        <f t="shared" ref="AD64:AD82" si="61">T64-R64</f>
        <v>-0.16800000000000637</v>
      </c>
      <c r="AE64" s="62">
        <f t="shared" ref="AE64:AE73" si="62">V64-T64</f>
        <v>-0.14099999999999113</v>
      </c>
      <c r="AF64" s="81">
        <f t="shared" si="3"/>
        <v>-0.29699999999999704</v>
      </c>
      <c r="AG64" s="81">
        <f t="shared" si="59"/>
        <v>-0.27012500000000017</v>
      </c>
      <c r="AH64" s="45">
        <f t="shared" si="52"/>
        <v>-0.27400000000000091</v>
      </c>
      <c r="AI64" s="29">
        <f t="shared" si="53"/>
        <v>-0.32399999999998386</v>
      </c>
      <c r="AJ64" s="62">
        <f t="shared" si="54"/>
        <v>-0.54100000000002524</v>
      </c>
      <c r="AK64" s="62">
        <f t="shared" si="55"/>
        <v>-9.0999999999979764E-2</v>
      </c>
      <c r="AL64" s="62">
        <f t="shared" si="56"/>
        <v>-0.21999999999999886</v>
      </c>
      <c r="AM64" s="62">
        <f t="shared" si="57"/>
        <v>-0.34400000000002251</v>
      </c>
      <c r="AN64" s="62">
        <f t="shared" si="40"/>
        <v>-5.5999999999983174E-2</v>
      </c>
      <c r="AO64" s="62">
        <f t="shared" si="58"/>
        <v>-0.26428571428571346</v>
      </c>
      <c r="AP64" s="62">
        <f t="shared" si="41"/>
        <v>1.300000000000523E-2</v>
      </c>
      <c r="AQ64" s="62">
        <f t="shared" si="4"/>
        <v>-0.28399999999999181</v>
      </c>
    </row>
    <row r="65" spans="1:43" x14ac:dyDescent="0.25">
      <c r="A65" s="3">
        <v>2076</v>
      </c>
      <c r="B65" s="60">
        <v>2280427.6639999999</v>
      </c>
      <c r="C65" s="60">
        <v>6163347.7999999998</v>
      </c>
      <c r="D65" s="60">
        <v>177.75899999999999</v>
      </c>
      <c r="E65" s="58" t="s">
        <v>76</v>
      </c>
      <c r="F65" s="27"/>
      <c r="G65" s="27">
        <v>180.846</v>
      </c>
      <c r="H65" s="27">
        <v>180.803</v>
      </c>
      <c r="I65" s="27">
        <v>180.56800000000001</v>
      </c>
      <c r="J65" s="27">
        <v>180.44</v>
      </c>
      <c r="K65" s="27">
        <v>180.19</v>
      </c>
      <c r="L65" s="27">
        <v>180.08</v>
      </c>
      <c r="M65" s="60">
        <v>179.524</v>
      </c>
      <c r="N65" s="27">
        <v>179.28700000000001</v>
      </c>
      <c r="O65" s="60">
        <v>179.21</v>
      </c>
      <c r="P65" s="60">
        <v>178.88399999999999</v>
      </c>
      <c r="Q65" s="60">
        <v>178.70099999999999</v>
      </c>
      <c r="R65" s="60">
        <v>178.59</v>
      </c>
      <c r="S65" s="60">
        <v>178.39599999999999</v>
      </c>
      <c r="T65" s="60">
        <v>178.27500000000001</v>
      </c>
      <c r="U65" s="60">
        <v>178.149</v>
      </c>
      <c r="V65" s="71">
        <v>178.04400000000001</v>
      </c>
      <c r="W65" s="71">
        <f t="shared" si="0"/>
        <v>177.75899999999999</v>
      </c>
      <c r="X65" s="32"/>
      <c r="Y65" s="27">
        <f t="shared" si="60"/>
        <v>-0.36299999999999955</v>
      </c>
      <c r="Z65" s="29">
        <f t="shared" si="48"/>
        <v>-0.35999999999998522</v>
      </c>
      <c r="AA65" s="62">
        <f t="shared" si="49"/>
        <v>-0.79300000000000637</v>
      </c>
      <c r="AB65" s="62">
        <f t="shared" si="50"/>
        <v>-0.40300000000002001</v>
      </c>
      <c r="AC65" s="62">
        <f t="shared" si="51"/>
        <v>-0.29399999999998272</v>
      </c>
      <c r="AD65" s="62">
        <f t="shared" si="61"/>
        <v>-0.31499999999999773</v>
      </c>
      <c r="AE65" s="62">
        <f t="shared" si="62"/>
        <v>-0.23099999999999454</v>
      </c>
      <c r="AF65" s="81">
        <f t="shared" si="3"/>
        <v>-0.28500000000002501</v>
      </c>
      <c r="AG65" s="81">
        <f t="shared" si="59"/>
        <v>-0.38050000000000139</v>
      </c>
      <c r="AH65" s="45">
        <f t="shared" si="52"/>
        <v>-0.27799999999999159</v>
      </c>
      <c r="AI65" s="29">
        <f t="shared" si="53"/>
        <v>-0.37800000000001432</v>
      </c>
      <c r="AJ65" s="62">
        <f t="shared" si="54"/>
        <v>-0.66599999999999682</v>
      </c>
      <c r="AK65" s="62">
        <f t="shared" si="55"/>
        <v>-0.31399999999999295</v>
      </c>
      <c r="AL65" s="62">
        <f t="shared" si="56"/>
        <v>-0.50900000000001455</v>
      </c>
      <c r="AM65" s="62">
        <f t="shared" si="57"/>
        <v>-0.30500000000000682</v>
      </c>
      <c r="AN65" s="62">
        <f t="shared" si="40"/>
        <v>-0.24699999999998568</v>
      </c>
      <c r="AO65" s="62">
        <f t="shared" si="58"/>
        <v>-0.38528571428571468</v>
      </c>
      <c r="AP65" s="62">
        <f t="shared" si="41"/>
        <v>-0.10499999999998977</v>
      </c>
      <c r="AQ65" s="62">
        <f t="shared" si="4"/>
        <v>-0.39000000000001478</v>
      </c>
    </row>
    <row r="66" spans="1:43" x14ac:dyDescent="0.25">
      <c r="A66" s="3">
        <v>2107</v>
      </c>
      <c r="B66" s="60">
        <v>2099695.693</v>
      </c>
      <c r="C66" s="60">
        <v>6220352.6749999998</v>
      </c>
      <c r="D66" s="60">
        <v>174.518</v>
      </c>
      <c r="E66" s="58" t="s">
        <v>77</v>
      </c>
      <c r="F66" s="27"/>
      <c r="G66" s="27">
        <v>176.036</v>
      </c>
      <c r="H66" s="27">
        <v>176.10900000000001</v>
      </c>
      <c r="I66" s="27">
        <v>175.87799999999999</v>
      </c>
      <c r="J66" s="27">
        <v>175.78</v>
      </c>
      <c r="K66" s="27">
        <v>175.52</v>
      </c>
      <c r="L66" s="27">
        <v>175.584</v>
      </c>
      <c r="M66" s="60">
        <v>175.268</v>
      </c>
      <c r="N66" s="27">
        <v>175.221</v>
      </c>
      <c r="O66" s="60">
        <v>174.86799999999999</v>
      </c>
      <c r="P66" s="60">
        <v>174.88499999999999</v>
      </c>
      <c r="Q66" s="60">
        <v>174.84800000000001</v>
      </c>
      <c r="R66" s="60">
        <v>174.89</v>
      </c>
      <c r="S66" s="60">
        <v>174.87</v>
      </c>
      <c r="T66" s="60">
        <v>174.84899999999999</v>
      </c>
      <c r="U66" s="60">
        <v>174.78700000000001</v>
      </c>
      <c r="V66" s="71">
        <v>174.631</v>
      </c>
      <c r="W66" s="71">
        <f t="shared" si="0"/>
        <v>174.518</v>
      </c>
      <c r="X66" s="32"/>
      <c r="Y66" s="27">
        <f t="shared" si="60"/>
        <v>-0.32900000000000773</v>
      </c>
      <c r="Z66" s="29">
        <f t="shared" si="48"/>
        <v>-0.19599999999999795</v>
      </c>
      <c r="AA66" s="62">
        <f t="shared" si="49"/>
        <v>-0.36299999999999955</v>
      </c>
      <c r="AB66" s="62">
        <f t="shared" si="50"/>
        <v>-0.33600000000001273</v>
      </c>
      <c r="AC66" s="62">
        <f t="shared" si="51"/>
        <v>4.9999999999954525E-3</v>
      </c>
      <c r="AD66" s="62">
        <f t="shared" si="61"/>
        <v>-4.0999999999996817E-2</v>
      </c>
      <c r="AE66" s="62">
        <f t="shared" si="62"/>
        <v>-0.21799999999998931</v>
      </c>
      <c r="AF66" s="81">
        <f t="shared" si="3"/>
        <v>-0.11299999999999955</v>
      </c>
      <c r="AG66" s="81">
        <f t="shared" si="59"/>
        <v>-0.19887500000000102</v>
      </c>
      <c r="AH66" s="45">
        <f t="shared" si="52"/>
        <v>-0.15800000000001546</v>
      </c>
      <c r="AI66" s="29">
        <f t="shared" si="53"/>
        <v>-0.35799999999997567</v>
      </c>
      <c r="AJ66" s="62">
        <f t="shared" si="54"/>
        <v>-0.25200000000000955</v>
      </c>
      <c r="AK66" s="62">
        <f t="shared" si="55"/>
        <v>-0.40000000000000568</v>
      </c>
      <c r="AL66" s="62">
        <f t="shared" si="56"/>
        <v>-1.999999999998181E-2</v>
      </c>
      <c r="AM66" s="62">
        <f t="shared" si="57"/>
        <v>2.199999999999136E-2</v>
      </c>
      <c r="AN66" s="62">
        <f t="shared" ref="AN66:AN82" si="63">U66-S66</f>
        <v>-8.2999999999998408E-2</v>
      </c>
      <c r="AO66" s="62">
        <f t="shared" si="58"/>
        <v>-0.17842857142857074</v>
      </c>
      <c r="AP66" s="62">
        <f t="shared" si="41"/>
        <v>-0.15600000000000591</v>
      </c>
      <c r="AQ66" s="62">
        <f t="shared" si="4"/>
        <v>-0.26900000000000546</v>
      </c>
    </row>
    <row r="67" spans="1:43" x14ac:dyDescent="0.25">
      <c r="A67" s="3">
        <v>2147</v>
      </c>
      <c r="B67" s="60">
        <v>2062741.5819999999</v>
      </c>
      <c r="C67" s="60">
        <v>6223015.9040000001</v>
      </c>
      <c r="D67" s="60">
        <v>194.745</v>
      </c>
      <c r="E67" s="58" t="s">
        <v>29</v>
      </c>
      <c r="F67" s="27"/>
      <c r="G67" s="27">
        <v>196.577</v>
      </c>
      <c r="H67" s="27">
        <v>196.62899999999999</v>
      </c>
      <c r="I67" s="27">
        <v>196.36500000000001</v>
      </c>
      <c r="J67" s="27">
        <v>196.27</v>
      </c>
      <c r="K67" s="27">
        <v>195.94</v>
      </c>
      <c r="L67" s="27">
        <v>195.87700000000001</v>
      </c>
      <c r="M67" s="60">
        <v>195.47499999999999</v>
      </c>
      <c r="N67" s="27">
        <v>195.417</v>
      </c>
      <c r="O67" s="60">
        <v>195.03100000000001</v>
      </c>
      <c r="P67" s="60">
        <v>195.00700000000001</v>
      </c>
      <c r="Q67" s="60">
        <v>195.00700000000001</v>
      </c>
      <c r="R67" s="60">
        <v>195.1</v>
      </c>
      <c r="S67" s="60">
        <v>195.10599999999999</v>
      </c>
      <c r="T67" s="60">
        <v>195.08500000000001</v>
      </c>
      <c r="U67" s="60">
        <v>195.00399999999999</v>
      </c>
      <c r="V67" s="71">
        <v>194.87100000000001</v>
      </c>
      <c r="W67" s="71">
        <f t="shared" si="0"/>
        <v>194.745</v>
      </c>
      <c r="X67" s="32"/>
      <c r="Y67" s="27">
        <f t="shared" si="60"/>
        <v>-0.35899999999998045</v>
      </c>
      <c r="Z67" s="29">
        <f t="shared" si="48"/>
        <v>-0.39300000000000068</v>
      </c>
      <c r="AA67" s="62">
        <f t="shared" si="49"/>
        <v>-0.46000000000000796</v>
      </c>
      <c r="AB67" s="62">
        <f t="shared" si="50"/>
        <v>-0.40999999999999659</v>
      </c>
      <c r="AC67" s="62">
        <f t="shared" si="51"/>
        <v>9.2999999999989313E-2</v>
      </c>
      <c r="AD67" s="62">
        <f t="shared" si="61"/>
        <v>-1.4999999999986358E-2</v>
      </c>
      <c r="AE67" s="62">
        <f t="shared" si="62"/>
        <v>-0.21399999999999864</v>
      </c>
      <c r="AF67" s="81">
        <f t="shared" si="3"/>
        <v>-0.12600000000000477</v>
      </c>
      <c r="AG67" s="81">
        <f t="shared" si="59"/>
        <v>-0.23549999999999827</v>
      </c>
      <c r="AH67" s="45">
        <f t="shared" si="52"/>
        <v>-0.21199999999998909</v>
      </c>
      <c r="AI67" s="29">
        <f t="shared" si="53"/>
        <v>-0.42500000000001137</v>
      </c>
      <c r="AJ67" s="62">
        <f t="shared" si="54"/>
        <v>-0.46500000000000341</v>
      </c>
      <c r="AK67" s="62">
        <f t="shared" si="55"/>
        <v>-0.4439999999999884</v>
      </c>
      <c r="AL67" s="62">
        <f t="shared" si="56"/>
        <v>-2.4000000000000909E-2</v>
      </c>
      <c r="AM67" s="62">
        <f t="shared" si="57"/>
        <v>9.8999999999989541E-2</v>
      </c>
      <c r="AN67" s="62">
        <f t="shared" si="63"/>
        <v>-0.10200000000000387</v>
      </c>
      <c r="AO67" s="62">
        <f t="shared" si="58"/>
        <v>-0.22471428571428678</v>
      </c>
      <c r="AP67" s="62">
        <f t="shared" si="41"/>
        <v>-0.13299999999998136</v>
      </c>
      <c r="AQ67" s="62">
        <f t="shared" si="4"/>
        <v>-0.25899999999998613</v>
      </c>
    </row>
    <row r="68" spans="1:43" x14ac:dyDescent="0.25">
      <c r="A68" s="3">
        <v>2149</v>
      </c>
      <c r="B68" s="60">
        <v>2115864.7319999998</v>
      </c>
      <c r="C68" s="60">
        <v>6175004.4040000001</v>
      </c>
      <c r="D68" s="60">
        <v>164.285</v>
      </c>
      <c r="E68" s="58" t="s">
        <v>30</v>
      </c>
      <c r="F68" s="27"/>
      <c r="G68" s="27">
        <v>165.85</v>
      </c>
      <c r="H68" s="27">
        <v>165.88499999999999</v>
      </c>
      <c r="I68" s="27">
        <v>165.72499999999999</v>
      </c>
      <c r="J68" s="27">
        <v>165.62</v>
      </c>
      <c r="K68" s="27">
        <v>165.47</v>
      </c>
      <c r="L68" s="27">
        <v>165.429</v>
      </c>
      <c r="M68" s="60">
        <v>165.18600000000001</v>
      </c>
      <c r="N68" s="27">
        <v>164.999</v>
      </c>
      <c r="O68" s="60">
        <v>164.762</v>
      </c>
      <c r="P68" s="60">
        <v>164.60599999999999</v>
      </c>
      <c r="Q68" s="60">
        <v>164.56100000000001</v>
      </c>
      <c r="R68" s="60">
        <v>164.61</v>
      </c>
      <c r="S68" s="60">
        <v>164.75</v>
      </c>
      <c r="T68" s="60">
        <v>164.56100000000001</v>
      </c>
      <c r="U68" s="60">
        <v>164.52600000000001</v>
      </c>
      <c r="V68" s="71">
        <v>164.411</v>
      </c>
      <c r="W68" s="71">
        <f t="shared" si="0"/>
        <v>164.285</v>
      </c>
      <c r="X68" s="32"/>
      <c r="Y68" s="27">
        <f t="shared" si="60"/>
        <v>-0.26499999999998636</v>
      </c>
      <c r="Z68" s="29">
        <f t="shared" si="48"/>
        <v>-0.1910000000000025</v>
      </c>
      <c r="AA68" s="62">
        <f t="shared" si="49"/>
        <v>-0.43000000000000682</v>
      </c>
      <c r="AB68" s="62">
        <f t="shared" si="50"/>
        <v>-0.39300000000000068</v>
      </c>
      <c r="AC68" s="62">
        <f t="shared" si="51"/>
        <v>4.0000000000190994E-3</v>
      </c>
      <c r="AD68" s="62">
        <f t="shared" si="61"/>
        <v>-4.9000000000006594E-2</v>
      </c>
      <c r="AE68" s="62">
        <f t="shared" si="62"/>
        <v>-0.15000000000000568</v>
      </c>
      <c r="AF68" s="81">
        <f t="shared" si="3"/>
        <v>-0.12600000000000477</v>
      </c>
      <c r="AG68" s="81">
        <f t="shared" si="59"/>
        <v>-0.19999999999999929</v>
      </c>
      <c r="AH68" s="45">
        <f t="shared" si="52"/>
        <v>-0.125</v>
      </c>
      <c r="AI68" s="29">
        <f t="shared" si="53"/>
        <v>-0.25499999999999545</v>
      </c>
      <c r="AJ68" s="62">
        <f t="shared" si="54"/>
        <v>-0.28399999999999181</v>
      </c>
      <c r="AK68" s="62">
        <f t="shared" si="55"/>
        <v>-0.42400000000000659</v>
      </c>
      <c r="AL68" s="62">
        <f t="shared" si="56"/>
        <v>-0.20099999999999341</v>
      </c>
      <c r="AM68" s="62">
        <f t="shared" si="57"/>
        <v>0.18899999999999295</v>
      </c>
      <c r="AN68" s="62">
        <f t="shared" si="63"/>
        <v>-0.22399999999998954</v>
      </c>
      <c r="AO68" s="62">
        <f t="shared" si="58"/>
        <v>-0.18914285714285484</v>
      </c>
      <c r="AP68" s="62">
        <f t="shared" si="41"/>
        <v>-0.11500000000000909</v>
      </c>
      <c r="AQ68" s="62">
        <f t="shared" si="4"/>
        <v>-0.24100000000001387</v>
      </c>
    </row>
    <row r="69" spans="1:43" x14ac:dyDescent="0.25">
      <c r="A69" s="3">
        <v>2160</v>
      </c>
      <c r="B69" s="60">
        <v>2078118.2709999999</v>
      </c>
      <c r="C69" s="60">
        <v>6305388.21</v>
      </c>
      <c r="D69" s="60">
        <v>232.09899999999999</v>
      </c>
      <c r="E69" s="58" t="s">
        <v>31</v>
      </c>
      <c r="F69" s="27"/>
      <c r="G69" s="27">
        <v>232.88900000000001</v>
      </c>
      <c r="H69" s="27">
        <v>232.91</v>
      </c>
      <c r="I69" s="27">
        <v>232.67099999999999</v>
      </c>
      <c r="J69" s="27">
        <v>232.76</v>
      </c>
      <c r="K69" s="27">
        <v>232.71</v>
      </c>
      <c r="L69" s="27">
        <v>232.679</v>
      </c>
      <c r="M69" s="60">
        <v>232.49100000000001</v>
      </c>
      <c r="N69" s="27">
        <v>232.57</v>
      </c>
      <c r="O69" s="60">
        <v>232.279</v>
      </c>
      <c r="P69" s="60">
        <v>232.41</v>
      </c>
      <c r="Q69" s="60">
        <v>232.22200000000001</v>
      </c>
      <c r="R69" s="60">
        <v>232.29</v>
      </c>
      <c r="S69" s="60">
        <v>232.52600000000001</v>
      </c>
      <c r="T69" s="60">
        <v>232.261</v>
      </c>
      <c r="U69" s="60">
        <v>232.32499999999999</v>
      </c>
      <c r="V69" s="71">
        <v>232.06899999999999</v>
      </c>
      <c r="W69" s="71">
        <f t="shared" si="0"/>
        <v>232.09899999999999</v>
      </c>
      <c r="X69" s="32"/>
      <c r="Y69" s="27">
        <f t="shared" si="60"/>
        <v>-0.15000000000000568</v>
      </c>
      <c r="Z69" s="29">
        <f t="shared" si="48"/>
        <v>-8.0999999999988859E-2</v>
      </c>
      <c r="AA69" s="62">
        <f t="shared" si="49"/>
        <v>-0.10900000000000887</v>
      </c>
      <c r="AB69" s="62">
        <f t="shared" si="50"/>
        <v>-0.15999999999999659</v>
      </c>
      <c r="AC69" s="62">
        <f t="shared" si="51"/>
        <v>-0.12000000000000455</v>
      </c>
      <c r="AD69" s="62">
        <f t="shared" si="61"/>
        <v>-2.8999999999996362E-2</v>
      </c>
      <c r="AE69" s="62">
        <f t="shared" si="62"/>
        <v>-0.19200000000000728</v>
      </c>
      <c r="AF69" s="81">
        <f t="shared" si="3"/>
        <v>3.0000000000001137E-2</v>
      </c>
      <c r="AG69" s="81">
        <f t="shared" si="59"/>
        <v>-0.10137500000000088</v>
      </c>
      <c r="AH69" s="45">
        <f t="shared" si="52"/>
        <v>-0.21800000000001774</v>
      </c>
      <c r="AI69" s="29">
        <f t="shared" si="53"/>
        <v>3.9000000000015689E-2</v>
      </c>
      <c r="AJ69" s="62">
        <f t="shared" si="54"/>
        <v>-0.21899999999999409</v>
      </c>
      <c r="AK69" s="62">
        <f t="shared" si="55"/>
        <v>-0.21200000000001751</v>
      </c>
      <c r="AL69" s="62">
        <f t="shared" si="56"/>
        <v>-5.6999999999987949E-2</v>
      </c>
      <c r="AM69" s="62">
        <f t="shared" si="57"/>
        <v>0.30400000000000205</v>
      </c>
      <c r="AN69" s="62">
        <f t="shared" si="63"/>
        <v>-0.20100000000002183</v>
      </c>
      <c r="AO69" s="62">
        <f t="shared" si="58"/>
        <v>-8.0571428571431625E-2</v>
      </c>
      <c r="AP69" s="62">
        <f t="shared" si="41"/>
        <v>-0.25600000000000023</v>
      </c>
      <c r="AQ69" s="62">
        <f t="shared" si="4"/>
        <v>-0.22599999999999909</v>
      </c>
    </row>
    <row r="70" spans="1:43" x14ac:dyDescent="0.25">
      <c r="A70" s="3">
        <v>2348</v>
      </c>
      <c r="B70" s="60">
        <v>2256684.5869999998</v>
      </c>
      <c r="C70" s="60">
        <v>6084032.4910000004</v>
      </c>
      <c r="D70" s="60">
        <v>112.151</v>
      </c>
      <c r="E70" s="58" t="s">
        <v>32</v>
      </c>
      <c r="F70" s="27"/>
      <c r="G70" s="27">
        <v>113.407</v>
      </c>
      <c r="H70" s="27">
        <v>113.328</v>
      </c>
      <c r="I70" s="27">
        <v>113.188</v>
      </c>
      <c r="J70" s="27">
        <v>113.16</v>
      </c>
      <c r="K70" s="27">
        <v>113.06</v>
      </c>
      <c r="L70" s="27">
        <v>113.083</v>
      </c>
      <c r="M70" s="60">
        <v>112.88500000000001</v>
      </c>
      <c r="N70" s="27">
        <v>112.81699999999999</v>
      </c>
      <c r="O70" s="60">
        <v>112.779</v>
      </c>
      <c r="P70" s="60">
        <v>112.652</v>
      </c>
      <c r="Q70" s="60">
        <v>112.583</v>
      </c>
      <c r="R70" s="60">
        <v>112.54</v>
      </c>
      <c r="S70" s="60">
        <v>112.43</v>
      </c>
      <c r="T70" s="60">
        <v>112.455</v>
      </c>
      <c r="U70" s="60">
        <v>112.355</v>
      </c>
      <c r="V70" s="71">
        <v>112.307</v>
      </c>
      <c r="W70" s="71">
        <f t="shared" ref="W70:W82" si="64">D70</f>
        <v>112.151</v>
      </c>
      <c r="X70" s="32"/>
      <c r="Y70" s="27">
        <f t="shared" si="60"/>
        <v>-0.16800000000000637</v>
      </c>
      <c r="Z70" s="29">
        <f t="shared" si="48"/>
        <v>-7.6999999999998181E-2</v>
      </c>
      <c r="AA70" s="62">
        <f t="shared" si="49"/>
        <v>-0.26600000000000534</v>
      </c>
      <c r="AB70" s="62">
        <f t="shared" si="50"/>
        <v>-0.16499999999999204</v>
      </c>
      <c r="AC70" s="62">
        <f t="shared" si="51"/>
        <v>-0.11199999999999477</v>
      </c>
      <c r="AD70" s="62">
        <f t="shared" si="61"/>
        <v>-8.5000000000007958E-2</v>
      </c>
      <c r="AE70" s="62">
        <f t="shared" si="62"/>
        <v>-0.14799999999999613</v>
      </c>
      <c r="AF70" s="81">
        <f t="shared" si="3"/>
        <v>-0.15600000000000591</v>
      </c>
      <c r="AG70" s="81">
        <f t="shared" si="59"/>
        <v>-0.14712500000000084</v>
      </c>
      <c r="AH70" s="45">
        <f t="shared" si="52"/>
        <v>-0.21899999999999409</v>
      </c>
      <c r="AI70" s="29">
        <f t="shared" si="53"/>
        <v>-0.12800000000000011</v>
      </c>
      <c r="AJ70" s="62">
        <f t="shared" si="54"/>
        <v>-0.17499999999999716</v>
      </c>
      <c r="AK70" s="62">
        <f t="shared" si="55"/>
        <v>-0.10600000000000875</v>
      </c>
      <c r="AL70" s="62">
        <f t="shared" si="56"/>
        <v>-0.19599999999999795</v>
      </c>
      <c r="AM70" s="62">
        <f t="shared" si="57"/>
        <v>-0.15299999999999159</v>
      </c>
      <c r="AN70" s="62">
        <f t="shared" si="63"/>
        <v>-7.5000000000002842E-2</v>
      </c>
      <c r="AO70" s="62">
        <f t="shared" si="58"/>
        <v>-0.15028571428571322</v>
      </c>
      <c r="AP70" s="62">
        <f t="shared" si="41"/>
        <v>-4.8000000000001819E-2</v>
      </c>
      <c r="AQ70" s="62">
        <f t="shared" si="4"/>
        <v>-0.20400000000000773</v>
      </c>
    </row>
    <row r="71" spans="1:43" x14ac:dyDescent="0.25">
      <c r="A71" s="3">
        <v>2362</v>
      </c>
      <c r="B71" s="60">
        <v>2256922.9249999998</v>
      </c>
      <c r="C71" s="60">
        <v>6143246.2139999997</v>
      </c>
      <c r="D71" s="60">
        <v>145.959</v>
      </c>
      <c r="E71" s="58" t="s">
        <v>33</v>
      </c>
      <c r="F71" s="27"/>
      <c r="G71" s="27">
        <v>149.72900000000001</v>
      </c>
      <c r="H71" s="27">
        <v>149.571</v>
      </c>
      <c r="I71" s="27">
        <v>149.18100000000001</v>
      </c>
      <c r="J71" s="27">
        <v>149.02000000000001</v>
      </c>
      <c r="K71" s="27">
        <v>148.65</v>
      </c>
      <c r="L71" s="27">
        <v>148.46700000000001</v>
      </c>
      <c r="M71" s="60">
        <v>147.886</v>
      </c>
      <c r="N71" s="27">
        <v>147.596</v>
      </c>
      <c r="O71" s="60">
        <v>147.298</v>
      </c>
      <c r="P71" s="60">
        <v>147.00700000000001</v>
      </c>
      <c r="Q71" s="60">
        <v>146.797</v>
      </c>
      <c r="R71" s="60">
        <v>146.69</v>
      </c>
      <c r="S71" s="60">
        <v>146.47499999999999</v>
      </c>
      <c r="T71" s="60">
        <v>146.39400000000001</v>
      </c>
      <c r="U71" s="60">
        <v>146.31299999999999</v>
      </c>
      <c r="V71" s="71">
        <v>146.22999999999999</v>
      </c>
      <c r="W71" s="71">
        <f t="shared" si="64"/>
        <v>145.959</v>
      </c>
      <c r="X71" s="32"/>
      <c r="Y71" s="27">
        <f t="shared" si="60"/>
        <v>-0.55099999999998772</v>
      </c>
      <c r="Z71" s="29">
        <f t="shared" si="48"/>
        <v>-0.55299999999999727</v>
      </c>
      <c r="AA71" s="62">
        <f t="shared" si="49"/>
        <v>-0.87100000000000932</v>
      </c>
      <c r="AB71" s="62">
        <f t="shared" si="50"/>
        <v>-0.58899999999999864</v>
      </c>
      <c r="AC71" s="62">
        <f t="shared" si="51"/>
        <v>-0.31700000000000728</v>
      </c>
      <c r="AD71" s="62">
        <f t="shared" si="61"/>
        <v>-0.29599999999999227</v>
      </c>
      <c r="AE71" s="62">
        <f t="shared" si="62"/>
        <v>-0.16400000000001569</v>
      </c>
      <c r="AF71" s="81">
        <f t="shared" ref="AF71:AF82" si="65">W71-V71</f>
        <v>-0.27099999999998658</v>
      </c>
      <c r="AG71" s="81">
        <f t="shared" si="59"/>
        <v>-0.45149999999999935</v>
      </c>
      <c r="AH71" s="45">
        <f t="shared" si="52"/>
        <v>-0.54800000000000182</v>
      </c>
      <c r="AI71" s="29">
        <f t="shared" si="53"/>
        <v>-0.53100000000000591</v>
      </c>
      <c r="AJ71" s="62">
        <f t="shared" si="54"/>
        <v>-0.76400000000001</v>
      </c>
      <c r="AK71" s="62">
        <f t="shared" si="55"/>
        <v>-0.58799999999999386</v>
      </c>
      <c r="AL71" s="62">
        <f t="shared" si="56"/>
        <v>-0.50100000000000477</v>
      </c>
      <c r="AM71" s="62">
        <f t="shared" si="57"/>
        <v>-0.32200000000000273</v>
      </c>
      <c r="AN71" s="62">
        <f t="shared" si="63"/>
        <v>-0.16200000000000614</v>
      </c>
      <c r="AO71" s="62">
        <f t="shared" si="58"/>
        <v>-0.4880000000000036</v>
      </c>
      <c r="AP71" s="62">
        <f t="shared" si="41"/>
        <v>-8.2999999999998408E-2</v>
      </c>
      <c r="AQ71" s="62">
        <f t="shared" ref="AQ71:AQ82" si="66">W71-U71</f>
        <v>-0.35399999999998499</v>
      </c>
    </row>
    <row r="72" spans="1:43" x14ac:dyDescent="0.25">
      <c r="A72" s="3">
        <v>2378</v>
      </c>
      <c r="B72" s="60">
        <v>2256382.08</v>
      </c>
      <c r="C72" s="60">
        <v>6184306.4460000005</v>
      </c>
      <c r="D72" s="60">
        <v>178.58699999999999</v>
      </c>
      <c r="E72" s="58" t="s">
        <v>34</v>
      </c>
      <c r="F72" s="27"/>
      <c r="G72" s="27">
        <v>182.46199999999999</v>
      </c>
      <c r="H72" s="27">
        <v>182.41300000000001</v>
      </c>
      <c r="I72" s="27">
        <v>182.12799999999999</v>
      </c>
      <c r="J72" s="27">
        <v>181.96</v>
      </c>
      <c r="K72" s="27">
        <v>181.59</v>
      </c>
      <c r="L72" s="27">
        <v>181.42400000000001</v>
      </c>
      <c r="M72" s="60">
        <v>180.874</v>
      </c>
      <c r="N72" s="27">
        <v>180.64400000000001</v>
      </c>
      <c r="O72" s="60">
        <v>180.435</v>
      </c>
      <c r="P72" s="60">
        <v>180.12799999999999</v>
      </c>
      <c r="Q72" s="60">
        <v>179.84800000000001</v>
      </c>
      <c r="R72" s="60">
        <v>179.76</v>
      </c>
      <c r="S72" s="60">
        <v>179.41200000000001</v>
      </c>
      <c r="T72" s="60">
        <v>179.256</v>
      </c>
      <c r="U72" s="60">
        <v>179.09800000000001</v>
      </c>
      <c r="V72" s="71">
        <v>178.97399999999999</v>
      </c>
      <c r="W72" s="71">
        <f t="shared" si="64"/>
        <v>178.58699999999999</v>
      </c>
      <c r="X72" s="32"/>
      <c r="Y72" s="27">
        <f t="shared" si="60"/>
        <v>-0.45300000000000296</v>
      </c>
      <c r="Z72" s="29">
        <f t="shared" si="48"/>
        <v>-0.53600000000000136</v>
      </c>
      <c r="AA72" s="62">
        <f t="shared" si="49"/>
        <v>-0.78000000000000114</v>
      </c>
      <c r="AB72" s="62">
        <f t="shared" si="50"/>
        <v>-0.51600000000001955</v>
      </c>
      <c r="AC72" s="62">
        <f t="shared" si="51"/>
        <v>-0.367999999999995</v>
      </c>
      <c r="AD72" s="62">
        <f t="shared" si="61"/>
        <v>-0.50399999999999068</v>
      </c>
      <c r="AE72" s="62">
        <f t="shared" si="62"/>
        <v>-0.28200000000001069</v>
      </c>
      <c r="AF72" s="81">
        <f t="shared" si="65"/>
        <v>-0.38700000000000045</v>
      </c>
      <c r="AG72" s="81">
        <f t="shared" si="59"/>
        <v>-0.47825000000000273</v>
      </c>
      <c r="AH72" s="45">
        <f t="shared" si="52"/>
        <v>-0.33400000000000318</v>
      </c>
      <c r="AI72" s="29">
        <f t="shared" si="53"/>
        <v>-0.53799999999998249</v>
      </c>
      <c r="AJ72" s="62">
        <f t="shared" si="54"/>
        <v>-0.71600000000000819</v>
      </c>
      <c r="AK72" s="62">
        <f t="shared" si="55"/>
        <v>-0.43899999999999295</v>
      </c>
      <c r="AL72" s="62">
        <f t="shared" si="56"/>
        <v>-0.58699999999998909</v>
      </c>
      <c r="AM72" s="62">
        <f t="shared" si="57"/>
        <v>-0.43600000000000705</v>
      </c>
      <c r="AN72" s="62">
        <f t="shared" si="63"/>
        <v>-0.31399999999999295</v>
      </c>
      <c r="AO72" s="62">
        <f t="shared" si="58"/>
        <v>-0.48057142857142515</v>
      </c>
      <c r="AP72" s="62">
        <f t="shared" si="41"/>
        <v>-0.12400000000002365</v>
      </c>
      <c r="AQ72" s="62">
        <f t="shared" si="66"/>
        <v>-0.5110000000000241</v>
      </c>
    </row>
    <row r="73" spans="1:43" x14ac:dyDescent="0.25">
      <c r="A73" s="3">
        <v>2448</v>
      </c>
      <c r="B73" s="60">
        <v>2061261.2520000001</v>
      </c>
      <c r="C73" s="60">
        <v>6266141.1370000001</v>
      </c>
      <c r="D73" s="60">
        <v>196.71</v>
      </c>
      <c r="E73" s="58" t="s">
        <v>35</v>
      </c>
      <c r="F73" s="27"/>
      <c r="G73" s="27">
        <v>199.15199999999999</v>
      </c>
      <c r="H73" s="27">
        <v>199.18100000000001</v>
      </c>
      <c r="I73" s="27">
        <v>198.89400000000001</v>
      </c>
      <c r="J73" s="27">
        <v>198.84</v>
      </c>
      <c r="K73" s="27">
        <v>198.51</v>
      </c>
      <c r="L73" s="27">
        <v>198.43299999999999</v>
      </c>
      <c r="M73" s="60">
        <v>198.01599999999999</v>
      </c>
      <c r="N73" s="27">
        <v>197.99799999999999</v>
      </c>
      <c r="O73" s="60">
        <v>197.565</v>
      </c>
      <c r="P73" s="60">
        <v>197.62799999999999</v>
      </c>
      <c r="Q73" s="60">
        <v>197.399</v>
      </c>
      <c r="R73" s="60">
        <v>197.46</v>
      </c>
      <c r="S73" s="60">
        <v>197.37899999999999</v>
      </c>
      <c r="T73" s="60">
        <v>197.26</v>
      </c>
      <c r="U73" s="60">
        <v>197.06800000000001</v>
      </c>
      <c r="V73" s="71">
        <v>196.93899999999999</v>
      </c>
      <c r="W73" s="71">
        <f t="shared" si="64"/>
        <v>196.71</v>
      </c>
      <c r="X73" s="32"/>
      <c r="Y73" s="27">
        <f t="shared" si="60"/>
        <v>-0.34100000000000819</v>
      </c>
      <c r="Z73" s="29">
        <f t="shared" si="48"/>
        <v>-0.40700000000001069</v>
      </c>
      <c r="AA73" s="62">
        <f t="shared" si="49"/>
        <v>-0.43500000000000227</v>
      </c>
      <c r="AB73" s="62">
        <f t="shared" si="50"/>
        <v>-0.37000000000000455</v>
      </c>
      <c r="AC73" s="62">
        <f t="shared" si="51"/>
        <v>-0.16799999999997794</v>
      </c>
      <c r="AD73" s="62">
        <f t="shared" si="61"/>
        <v>-0.20000000000001705</v>
      </c>
      <c r="AE73" s="62">
        <f t="shared" si="62"/>
        <v>-0.32099999999999795</v>
      </c>
      <c r="AF73" s="81">
        <f t="shared" si="65"/>
        <v>-0.22899999999998499</v>
      </c>
      <c r="AG73" s="81">
        <f t="shared" si="59"/>
        <v>-0.30887500000000045</v>
      </c>
      <c r="AH73" s="45">
        <f t="shared" si="52"/>
        <v>-0.25799999999998136</v>
      </c>
      <c r="AI73" s="29">
        <f t="shared" si="53"/>
        <v>-0.38400000000001455</v>
      </c>
      <c r="AJ73" s="62">
        <f t="shared" si="54"/>
        <v>-0.49399999999999977</v>
      </c>
      <c r="AK73" s="62">
        <f t="shared" si="55"/>
        <v>-0.45099999999999341</v>
      </c>
      <c r="AL73" s="62">
        <f t="shared" si="56"/>
        <v>-0.16599999999999682</v>
      </c>
      <c r="AM73" s="62">
        <f t="shared" si="57"/>
        <v>-2.0000000000010232E-2</v>
      </c>
      <c r="AN73" s="62">
        <f t="shared" si="63"/>
        <v>-0.31099999999997863</v>
      </c>
      <c r="AO73" s="62">
        <f t="shared" si="58"/>
        <v>-0.2977142857142821</v>
      </c>
      <c r="AP73" s="62">
        <f t="shared" si="41"/>
        <v>-0.1290000000000191</v>
      </c>
      <c r="AQ73" s="62">
        <f t="shared" si="66"/>
        <v>-0.35800000000000409</v>
      </c>
    </row>
    <row r="74" spans="1:43" x14ac:dyDescent="0.25">
      <c r="A74" s="41">
        <v>2562</v>
      </c>
      <c r="B74" s="2">
        <v>2232976.821</v>
      </c>
      <c r="C74" s="2">
        <v>6129496.477</v>
      </c>
      <c r="D74" s="60">
        <v>131.21600000000001</v>
      </c>
      <c r="E74" s="58" t="s">
        <v>79</v>
      </c>
      <c r="F74" s="27"/>
      <c r="G74" s="27">
        <v>133.65700000000001</v>
      </c>
      <c r="H74" s="27">
        <v>133.58600000000001</v>
      </c>
      <c r="I74" s="27">
        <v>133.43100000000001</v>
      </c>
      <c r="J74" s="27">
        <v>133.29</v>
      </c>
      <c r="K74" s="27">
        <v>133.11000000000001</v>
      </c>
      <c r="L74" s="27">
        <v>133.02600000000001</v>
      </c>
      <c r="M74" s="60">
        <v>132.52500000000001</v>
      </c>
      <c r="N74" s="27">
        <v>132.357</v>
      </c>
      <c r="O74" s="60">
        <v>132.256</v>
      </c>
      <c r="P74" s="60">
        <v>132.02099999999999</v>
      </c>
      <c r="Q74" s="60">
        <v>131.863</v>
      </c>
      <c r="R74" s="60">
        <v>131.82</v>
      </c>
      <c r="S74" s="60">
        <v>131.70699999999999</v>
      </c>
      <c r="T74" s="60">
        <v>131.61199999999999</v>
      </c>
      <c r="U74" s="60">
        <v>131.495</v>
      </c>
      <c r="V74" s="71"/>
      <c r="W74" s="71">
        <f t="shared" si="64"/>
        <v>131.21600000000001</v>
      </c>
      <c r="X74" s="32"/>
      <c r="Y74" s="27">
        <f t="shared" si="60"/>
        <v>-0.29600000000002069</v>
      </c>
      <c r="Z74" s="29">
        <f t="shared" si="48"/>
        <v>-0.26399999999998158</v>
      </c>
      <c r="AA74" s="62">
        <f t="shared" si="49"/>
        <v>-0.66900000000001114</v>
      </c>
      <c r="AB74" s="62">
        <f t="shared" si="50"/>
        <v>-0.33600000000001273</v>
      </c>
      <c r="AC74" s="62">
        <f t="shared" si="51"/>
        <v>-0.20099999999999341</v>
      </c>
      <c r="AD74" s="62">
        <f t="shared" si="61"/>
        <v>-0.20799999999999841</v>
      </c>
      <c r="AE74" s="62"/>
      <c r="AF74" s="81"/>
      <c r="AG74" s="81">
        <f>(W74-H74)/8</f>
        <v>-0.29625000000000057</v>
      </c>
      <c r="AH74" s="45">
        <f t="shared" si="52"/>
        <v>-0.22599999999999909</v>
      </c>
      <c r="AI74" s="29">
        <f t="shared" si="53"/>
        <v>-0.32099999999999795</v>
      </c>
      <c r="AJ74" s="62">
        <f t="shared" si="54"/>
        <v>-0.58500000000000796</v>
      </c>
      <c r="AK74" s="62">
        <f t="shared" si="55"/>
        <v>-0.26900000000000546</v>
      </c>
      <c r="AL74" s="62">
        <f t="shared" si="56"/>
        <v>-0.39300000000000068</v>
      </c>
      <c r="AM74" s="62">
        <f t="shared" si="57"/>
        <v>-0.15600000000000591</v>
      </c>
      <c r="AN74" s="62">
        <f t="shared" si="63"/>
        <v>-0.21199999999998909</v>
      </c>
      <c r="AO74" s="62">
        <f t="shared" si="58"/>
        <v>-0.30885714285714372</v>
      </c>
      <c r="AP74" s="62"/>
      <c r="AQ74" s="62">
        <f t="shared" si="66"/>
        <v>-0.27899999999999636</v>
      </c>
    </row>
    <row r="75" spans="1:43" x14ac:dyDescent="0.25">
      <c r="A75" s="3" t="s">
        <v>36</v>
      </c>
      <c r="B75" s="60">
        <v>2405238.9040000001</v>
      </c>
      <c r="C75" s="60">
        <v>6241496.477</v>
      </c>
      <c r="D75" s="60">
        <v>1289.287</v>
      </c>
      <c r="E75" s="58" t="s">
        <v>37</v>
      </c>
      <c r="F75" s="27"/>
      <c r="G75" s="27"/>
      <c r="H75" s="27"/>
      <c r="I75" s="27"/>
      <c r="J75" s="27">
        <v>1289.229</v>
      </c>
      <c r="K75" s="27">
        <v>1289.27</v>
      </c>
      <c r="L75" s="27">
        <v>1289.241</v>
      </c>
      <c r="M75" s="60">
        <v>1289.1510000000001</v>
      </c>
      <c r="N75" s="27">
        <v>1289.212</v>
      </c>
      <c r="O75" s="60">
        <v>1289.547</v>
      </c>
      <c r="P75" s="60">
        <v>1289.1189999999999</v>
      </c>
      <c r="Q75" s="60">
        <v>1289.4870000000001</v>
      </c>
      <c r="R75" s="60">
        <v>1289.23</v>
      </c>
      <c r="S75" s="60">
        <v>1289.271</v>
      </c>
      <c r="T75" s="60">
        <v>1289.4269999999999</v>
      </c>
      <c r="U75" s="60">
        <v>1289.432</v>
      </c>
      <c r="V75" s="71">
        <v>1289.451</v>
      </c>
      <c r="W75" s="71">
        <f t="shared" si="64"/>
        <v>1289.287</v>
      </c>
      <c r="X75" s="89"/>
      <c r="Y75" s="27"/>
      <c r="Z75" s="29">
        <f t="shared" si="48"/>
        <v>1.1999999999943611E-2</v>
      </c>
      <c r="AA75" s="62">
        <f t="shared" si="49"/>
        <v>-2.8999999999996362E-2</v>
      </c>
      <c r="AB75" s="62">
        <f t="shared" si="50"/>
        <v>-9.3000000000074579E-2</v>
      </c>
      <c r="AC75" s="62">
        <f t="shared" si="51"/>
        <v>0.11100000000010368</v>
      </c>
      <c r="AD75" s="62">
        <f t="shared" si="61"/>
        <v>0.19699999999988904</v>
      </c>
      <c r="AE75" s="62">
        <f t="shared" ref="AE75:AE80" si="67">V75-T75</f>
        <v>2.4000000000114596E-2</v>
      </c>
      <c r="AF75" s="81">
        <f t="shared" si="65"/>
        <v>-0.16399999999998727</v>
      </c>
      <c r="AG75" s="81">
        <f>(W75-J75)/7</f>
        <v>8.285714285713246E-3</v>
      </c>
      <c r="AH75" s="45"/>
      <c r="AI75" s="28"/>
      <c r="AJ75" s="62">
        <f t="shared" si="54"/>
        <v>-0.11899999999991451</v>
      </c>
      <c r="AK75" s="62">
        <f t="shared" si="55"/>
        <v>0.39599999999995816</v>
      </c>
      <c r="AL75" s="62">
        <f t="shared" si="56"/>
        <v>-5.999999999994543E-2</v>
      </c>
      <c r="AM75" s="62">
        <f t="shared" si="57"/>
        <v>-0.21600000000012187</v>
      </c>
      <c r="AN75" s="62">
        <f t="shared" si="63"/>
        <v>0.16100000000005821</v>
      </c>
      <c r="AO75" s="61">
        <f t="shared" ref="AO75:AO82" si="68">(U75-K75)/5</f>
        <v>3.2400000000006909E-2</v>
      </c>
      <c r="AP75" s="62">
        <f t="shared" ref="AP75:AP80" si="69">V75-U75</f>
        <v>1.9000000000005457E-2</v>
      </c>
      <c r="AQ75" s="62">
        <f t="shared" si="66"/>
        <v>-0.14499999999998181</v>
      </c>
    </row>
    <row r="76" spans="1:43" x14ac:dyDescent="0.25">
      <c r="A76" s="3" t="s">
        <v>38</v>
      </c>
      <c r="B76" s="60">
        <v>2273179.3110000002</v>
      </c>
      <c r="C76" s="60">
        <v>6009947.642</v>
      </c>
      <c r="D76" s="60">
        <v>137.816</v>
      </c>
      <c r="E76" s="58" t="s">
        <v>78</v>
      </c>
      <c r="F76" s="27"/>
      <c r="G76" s="27"/>
      <c r="H76" s="27"/>
      <c r="I76" s="27"/>
      <c r="J76" s="27">
        <v>137.98500000000001</v>
      </c>
      <c r="K76" s="27">
        <v>137.96</v>
      </c>
      <c r="L76" s="27">
        <v>137.88</v>
      </c>
      <c r="M76" s="60">
        <v>137.886</v>
      </c>
      <c r="N76" s="27">
        <v>137.81399999999999</v>
      </c>
      <c r="O76" s="60">
        <v>137.851</v>
      </c>
      <c r="P76" s="60">
        <v>137.88200000000001</v>
      </c>
      <c r="Q76" s="60">
        <v>137.95599999999999</v>
      </c>
      <c r="R76" s="60">
        <v>137.94</v>
      </c>
      <c r="S76" s="60">
        <v>137.84100000000001</v>
      </c>
      <c r="T76" s="60">
        <v>137.90100000000001</v>
      </c>
      <c r="U76" s="60">
        <v>137.881</v>
      </c>
      <c r="V76" s="71">
        <v>137.999</v>
      </c>
      <c r="W76" s="71">
        <f t="shared" si="64"/>
        <v>137.816</v>
      </c>
      <c r="X76" s="89"/>
      <c r="Y76" s="27"/>
      <c r="Z76" s="29">
        <f t="shared" ref="Z76:Z82" si="70">L76-J76</f>
        <v>-0.10500000000001819</v>
      </c>
      <c r="AA76" s="62">
        <f t="shared" ref="AA76:AA82" si="71">N76-L76</f>
        <v>-6.6000000000002501E-2</v>
      </c>
      <c r="AB76" s="62">
        <f t="shared" ref="AB76:AB81" si="72">P76-N76</f>
        <v>6.8000000000012051E-2</v>
      </c>
      <c r="AC76" s="62">
        <f t="shared" si="51"/>
        <v>5.7999999999992724E-2</v>
      </c>
      <c r="AD76" s="62">
        <f t="shared" si="61"/>
        <v>-3.8999999999987267E-2</v>
      </c>
      <c r="AE76" s="62">
        <f t="shared" si="67"/>
        <v>9.7999999999984766E-2</v>
      </c>
      <c r="AF76" s="81">
        <f t="shared" si="65"/>
        <v>-0.18299999999999272</v>
      </c>
      <c r="AG76" s="81">
        <f>(W76-J76)/7</f>
        <v>-2.4142857142858735E-2</v>
      </c>
      <c r="AH76" s="45"/>
      <c r="AI76" s="28"/>
      <c r="AJ76" s="62">
        <f t="shared" ref="AJ76:AJ82" si="73">M76-K76</f>
        <v>-7.4000000000012278E-2</v>
      </c>
      <c r="AK76" s="62">
        <f t="shared" ref="AK76:AK82" si="74">O76-M76</f>
        <v>-3.4999999999996589E-2</v>
      </c>
      <c r="AL76" s="62">
        <f t="shared" si="56"/>
        <v>0.10499999999998977</v>
      </c>
      <c r="AM76" s="62">
        <f t="shared" ref="AM76:AM82" si="75">S76-Q76</f>
        <v>-0.11499999999998067</v>
      </c>
      <c r="AN76" s="62">
        <f t="shared" si="63"/>
        <v>3.9999999999992042E-2</v>
      </c>
      <c r="AO76" s="61">
        <f t="shared" si="68"/>
        <v>-1.5800000000001545E-2</v>
      </c>
      <c r="AP76" s="62">
        <f t="shared" si="69"/>
        <v>0.117999999999995</v>
      </c>
      <c r="AQ76" s="62">
        <f t="shared" si="66"/>
        <v>-6.4999999999997726E-2</v>
      </c>
    </row>
    <row r="77" spans="1:43" x14ac:dyDescent="0.25">
      <c r="A77" s="41" t="s">
        <v>39</v>
      </c>
      <c r="B77" s="60">
        <v>2197033.267</v>
      </c>
      <c r="C77" s="60">
        <v>6077366.04</v>
      </c>
      <c r="D77" s="60">
        <v>189.465</v>
      </c>
      <c r="E77" s="58" t="s">
        <v>40</v>
      </c>
      <c r="F77" s="27"/>
      <c r="G77" s="27"/>
      <c r="H77" s="27"/>
      <c r="I77" s="27"/>
      <c r="J77" s="27">
        <v>189.93</v>
      </c>
      <c r="K77" s="31">
        <v>189.77</v>
      </c>
      <c r="L77" s="31">
        <v>189.85409999999999</v>
      </c>
      <c r="M77" s="63">
        <v>189.715</v>
      </c>
      <c r="N77" s="27">
        <v>189.661</v>
      </c>
      <c r="O77" s="60">
        <v>189.63300000000001</v>
      </c>
      <c r="P77" s="60">
        <v>189.52099999999999</v>
      </c>
      <c r="Q77" s="60">
        <v>189.57</v>
      </c>
      <c r="R77" s="60">
        <v>189.6</v>
      </c>
      <c r="S77" s="60">
        <v>189.56700000000001</v>
      </c>
      <c r="T77" s="60">
        <v>189.53</v>
      </c>
      <c r="U77" s="60">
        <v>189.54</v>
      </c>
      <c r="V77" s="71">
        <v>189.511</v>
      </c>
      <c r="W77" s="71">
        <f t="shared" si="64"/>
        <v>189.465</v>
      </c>
      <c r="X77" s="89"/>
      <c r="Y77" s="27"/>
      <c r="Z77" s="29">
        <f t="shared" si="70"/>
        <v>-7.5900000000018508E-2</v>
      </c>
      <c r="AA77" s="62">
        <f t="shared" si="71"/>
        <v>-0.19309999999998695</v>
      </c>
      <c r="AB77" s="62">
        <f t="shared" si="72"/>
        <v>-0.14000000000001478</v>
      </c>
      <c r="AC77" s="62">
        <f t="shared" si="51"/>
        <v>7.9000000000007731E-2</v>
      </c>
      <c r="AD77" s="62">
        <f t="shared" si="61"/>
        <v>-6.9999999999993179E-2</v>
      </c>
      <c r="AE77" s="62">
        <f t="shared" si="67"/>
        <v>-1.9000000000005457E-2</v>
      </c>
      <c r="AF77" s="81">
        <f t="shared" si="65"/>
        <v>-4.5999999999992269E-2</v>
      </c>
      <c r="AG77" s="81">
        <f t="shared" ref="AG77:AG81" si="76">(W77-J77)/7</f>
        <v>-6.642857142857192E-2</v>
      </c>
      <c r="AH77" s="45"/>
      <c r="AI77" s="28"/>
      <c r="AJ77" s="62">
        <f t="shared" si="73"/>
        <v>-5.5000000000006821E-2</v>
      </c>
      <c r="AK77" s="62">
        <f t="shared" si="74"/>
        <v>-8.1999999999993634E-2</v>
      </c>
      <c r="AL77" s="62">
        <f t="shared" si="56"/>
        <v>-6.3000000000016598E-2</v>
      </c>
      <c r="AM77" s="62">
        <f t="shared" si="75"/>
        <v>-2.9999999999859028E-3</v>
      </c>
      <c r="AN77" s="62">
        <f t="shared" si="63"/>
        <v>-2.7000000000015234E-2</v>
      </c>
      <c r="AO77" s="61">
        <f t="shared" si="68"/>
        <v>-4.6000000000003635E-2</v>
      </c>
      <c r="AP77" s="62">
        <f t="shared" si="69"/>
        <v>-2.8999999999996362E-2</v>
      </c>
      <c r="AQ77" s="62">
        <f t="shared" si="66"/>
        <v>-7.4999999999988631E-2</v>
      </c>
    </row>
    <row r="78" spans="1:43" x14ac:dyDescent="0.25">
      <c r="A78" s="3" t="s">
        <v>41</v>
      </c>
      <c r="B78" s="63">
        <v>2143813.3969999999</v>
      </c>
      <c r="C78" s="63">
        <v>6133818.6220000004</v>
      </c>
      <c r="D78" s="63">
        <v>233.13399999999999</v>
      </c>
      <c r="E78" s="58" t="s">
        <v>42</v>
      </c>
      <c r="F78" s="27"/>
      <c r="G78" s="27"/>
      <c r="H78" s="27"/>
      <c r="I78" s="27"/>
      <c r="J78" s="27">
        <v>233.74</v>
      </c>
      <c r="K78" s="27">
        <v>233.55</v>
      </c>
      <c r="L78" s="27">
        <v>233.613</v>
      </c>
      <c r="M78" s="60">
        <v>233.42699999999999</v>
      </c>
      <c r="N78" s="27">
        <v>233.29900000000001</v>
      </c>
      <c r="O78" s="60">
        <v>233.24799999999999</v>
      </c>
      <c r="P78" s="60">
        <v>233.17500000000001</v>
      </c>
      <c r="Q78" s="60">
        <v>233.27600000000001</v>
      </c>
      <c r="R78" s="60">
        <v>233.37</v>
      </c>
      <c r="S78" s="60">
        <v>233.40299999999999</v>
      </c>
      <c r="T78" s="60">
        <v>233.27</v>
      </c>
      <c r="U78" s="60">
        <v>233.33099999999999</v>
      </c>
      <c r="V78" s="71">
        <v>233.245</v>
      </c>
      <c r="W78" s="71">
        <f t="shared" si="64"/>
        <v>233.13399999999999</v>
      </c>
      <c r="X78" s="89"/>
      <c r="Y78" s="27"/>
      <c r="Z78" s="29">
        <f t="shared" si="70"/>
        <v>-0.12700000000000955</v>
      </c>
      <c r="AA78" s="62">
        <f t="shared" si="71"/>
        <v>-0.31399999999999295</v>
      </c>
      <c r="AB78" s="62">
        <f t="shared" si="72"/>
        <v>-0.12399999999999523</v>
      </c>
      <c r="AC78" s="62">
        <f t="shared" si="51"/>
        <v>0.19499999999999318</v>
      </c>
      <c r="AD78" s="62">
        <f t="shared" si="61"/>
        <v>-9.9999999999994316E-2</v>
      </c>
      <c r="AE78" s="62">
        <f t="shared" si="67"/>
        <v>-2.5000000000005684E-2</v>
      </c>
      <c r="AF78" s="81">
        <f t="shared" si="65"/>
        <v>-0.11100000000001842</v>
      </c>
      <c r="AG78" s="81">
        <f t="shared" si="76"/>
        <v>-8.6571428571431852E-2</v>
      </c>
      <c r="AH78" s="45"/>
      <c r="AI78" s="28"/>
      <c r="AJ78" s="62">
        <f t="shared" si="73"/>
        <v>-0.12300000000001887</v>
      </c>
      <c r="AK78" s="62">
        <f t="shared" si="74"/>
        <v>-0.17900000000000205</v>
      </c>
      <c r="AL78" s="62">
        <f t="shared" si="56"/>
        <v>2.8000000000020009E-2</v>
      </c>
      <c r="AM78" s="62">
        <f t="shared" si="75"/>
        <v>0.12699999999998113</v>
      </c>
      <c r="AN78" s="62">
        <f t="shared" si="63"/>
        <v>-7.2000000000002728E-2</v>
      </c>
      <c r="AO78" s="61">
        <f t="shared" si="68"/>
        <v>-4.3800000000004502E-2</v>
      </c>
      <c r="AP78" s="62">
        <f t="shared" si="69"/>
        <v>-8.5999999999984311E-2</v>
      </c>
      <c r="AQ78" s="62">
        <f t="shared" si="66"/>
        <v>-0.19700000000000273</v>
      </c>
    </row>
    <row r="79" spans="1:43" x14ac:dyDescent="0.25">
      <c r="A79" s="16" t="s">
        <v>114</v>
      </c>
      <c r="B79" s="100">
        <v>2143787.7710000002</v>
      </c>
      <c r="C79" s="100">
        <v>6458478.2869999995</v>
      </c>
      <c r="D79" s="100">
        <v>506.64400000000001</v>
      </c>
      <c r="E79" s="58" t="s">
        <v>113</v>
      </c>
      <c r="F79" s="27"/>
      <c r="G79" s="27"/>
      <c r="H79" s="27"/>
      <c r="I79" s="27"/>
      <c r="J79" s="27">
        <v>506.64499999999998</v>
      </c>
      <c r="K79" s="27">
        <v>506.77</v>
      </c>
      <c r="L79" s="27">
        <v>506.65600000000001</v>
      </c>
      <c r="M79" s="60">
        <v>506.78300000000002</v>
      </c>
      <c r="N79" s="27">
        <v>506.74400000000003</v>
      </c>
      <c r="O79" s="60">
        <v>506.61799999999999</v>
      </c>
      <c r="P79" s="60">
        <v>506.70299999999997</v>
      </c>
      <c r="Q79" s="60">
        <v>506.72199999999998</v>
      </c>
      <c r="R79" s="60">
        <v>506.69</v>
      </c>
      <c r="S79" s="60">
        <v>506.673</v>
      </c>
      <c r="T79" s="60">
        <v>506.61399999999998</v>
      </c>
      <c r="U79" s="60">
        <f>502.422+4.2</f>
        <v>506.62200000000001</v>
      </c>
      <c r="V79" s="71">
        <v>506.59100000000001</v>
      </c>
      <c r="W79" s="71">
        <f t="shared" si="64"/>
        <v>506.64400000000001</v>
      </c>
      <c r="X79" s="89"/>
      <c r="Y79" s="27"/>
      <c r="Z79" s="29">
        <f t="shared" si="70"/>
        <v>1.1000000000024102E-2</v>
      </c>
      <c r="AA79" s="62">
        <f t="shared" si="71"/>
        <v>8.8000000000022283E-2</v>
      </c>
      <c r="AB79" s="62">
        <f t="shared" si="72"/>
        <v>-4.100000000005366E-2</v>
      </c>
      <c r="AC79" s="62">
        <f t="shared" si="51"/>
        <v>-1.2999999999976808E-2</v>
      </c>
      <c r="AD79" s="62">
        <f t="shared" si="61"/>
        <v>-7.6000000000021828E-2</v>
      </c>
      <c r="AE79" s="62">
        <f t="shared" si="67"/>
        <v>-2.2999999999967713E-2</v>
      </c>
      <c r="AF79" s="81">
        <f t="shared" si="65"/>
        <v>5.2999999999997272E-2</v>
      </c>
      <c r="AG79" s="81">
        <f t="shared" si="76"/>
        <v>-1.4285714285376474E-4</v>
      </c>
      <c r="AH79" s="45"/>
      <c r="AI79" s="28"/>
      <c r="AJ79" s="62">
        <f t="shared" si="73"/>
        <v>1.3000000000033651E-2</v>
      </c>
      <c r="AK79" s="62">
        <f t="shared" si="74"/>
        <v>-0.16500000000002046</v>
      </c>
      <c r="AL79" s="62">
        <f t="shared" si="56"/>
        <v>0.10399999999998499</v>
      </c>
      <c r="AM79" s="62">
        <f t="shared" si="75"/>
        <v>-4.8999999999978172E-2</v>
      </c>
      <c r="AN79" s="62">
        <f t="shared" si="63"/>
        <v>-5.0999999999987722E-2</v>
      </c>
      <c r="AO79" s="61">
        <f t="shared" si="68"/>
        <v>-2.9599999999993541E-2</v>
      </c>
      <c r="AP79" s="62">
        <f t="shared" si="69"/>
        <v>-3.1000000000005912E-2</v>
      </c>
      <c r="AQ79" s="62">
        <f t="shared" si="66"/>
        <v>2.199999999999136E-2</v>
      </c>
    </row>
    <row r="80" spans="1:43" x14ac:dyDescent="0.25">
      <c r="A80" s="3" t="s">
        <v>43</v>
      </c>
      <c r="B80" s="63">
        <v>2172507.747</v>
      </c>
      <c r="C80" s="63">
        <v>6031179.3640000001</v>
      </c>
      <c r="D80" s="63">
        <v>704.63400000000001</v>
      </c>
      <c r="E80" s="58" t="s">
        <v>44</v>
      </c>
      <c r="F80" s="27"/>
      <c r="G80" s="27"/>
      <c r="H80" s="27"/>
      <c r="I80" s="27"/>
      <c r="J80" s="27">
        <v>704.59799999999996</v>
      </c>
      <c r="K80" s="27">
        <v>704.5</v>
      </c>
      <c r="L80" s="27">
        <v>704.71</v>
      </c>
      <c r="M80" s="60">
        <v>704.60299999999995</v>
      </c>
      <c r="N80" s="27">
        <v>704.57</v>
      </c>
      <c r="O80" s="60">
        <v>704.61900000000003</v>
      </c>
      <c r="P80" s="60">
        <v>704.56799999999998</v>
      </c>
      <c r="Q80" s="60">
        <v>704.61199999999997</v>
      </c>
      <c r="R80" s="60">
        <v>704.59</v>
      </c>
      <c r="S80" s="60">
        <v>704.66499999999996</v>
      </c>
      <c r="T80" s="60">
        <v>704.55700000000002</v>
      </c>
      <c r="U80" s="60">
        <v>704.61699999999996</v>
      </c>
      <c r="V80" s="71">
        <v>704.53599999999994</v>
      </c>
      <c r="W80" s="71">
        <f t="shared" si="64"/>
        <v>704.63400000000001</v>
      </c>
      <c r="X80" s="89"/>
      <c r="Y80" s="27"/>
      <c r="Z80" s="29">
        <f t="shared" si="70"/>
        <v>0.11200000000008004</v>
      </c>
      <c r="AA80" s="62">
        <f t="shared" si="71"/>
        <v>-0.13999999999998636</v>
      </c>
      <c r="AB80" s="62">
        <f t="shared" si="72"/>
        <v>-2.0000000000663931E-3</v>
      </c>
      <c r="AC80" s="62">
        <f t="shared" si="51"/>
        <v>2.2000000000048203E-2</v>
      </c>
      <c r="AD80" s="62">
        <f t="shared" si="61"/>
        <v>-3.3000000000015461E-2</v>
      </c>
      <c r="AE80" s="62">
        <f t="shared" si="67"/>
        <v>-2.100000000007185E-2</v>
      </c>
      <c r="AF80" s="81">
        <f t="shared" si="65"/>
        <v>9.8000000000070031E-2</v>
      </c>
      <c r="AG80" s="81">
        <f t="shared" si="76"/>
        <v>5.142857142865458E-3</v>
      </c>
      <c r="AH80" s="45"/>
      <c r="AI80" s="28"/>
      <c r="AJ80" s="62">
        <f t="shared" si="73"/>
        <v>0.1029999999999518</v>
      </c>
      <c r="AK80" s="62">
        <f t="shared" si="74"/>
        <v>1.6000000000076398E-2</v>
      </c>
      <c r="AL80" s="62">
        <f t="shared" si="56"/>
        <v>-7.0000000000618456E-3</v>
      </c>
      <c r="AM80" s="62">
        <f t="shared" si="75"/>
        <v>5.2999999999997272E-2</v>
      </c>
      <c r="AN80" s="62">
        <f t="shared" si="63"/>
        <v>-4.8000000000001819E-2</v>
      </c>
      <c r="AO80" s="61">
        <f t="shared" si="68"/>
        <v>2.3399999999992361E-2</v>
      </c>
      <c r="AP80" s="62">
        <f t="shared" si="69"/>
        <v>-8.100000000001728E-2</v>
      </c>
      <c r="AQ80" s="62">
        <f t="shared" si="66"/>
        <v>1.7000000000052751E-2</v>
      </c>
    </row>
    <row r="81" spans="1:43" x14ac:dyDescent="0.25">
      <c r="A81" s="41" t="s">
        <v>45</v>
      </c>
      <c r="B81" s="63">
        <v>2082514.919</v>
      </c>
      <c r="C81" s="63">
        <v>6102978.8099999996</v>
      </c>
      <c r="D81" s="63">
        <v>1103.5550000000001</v>
      </c>
      <c r="E81" s="58" t="s">
        <v>46</v>
      </c>
      <c r="F81" s="27"/>
      <c r="G81" s="27"/>
      <c r="H81" s="27"/>
      <c r="I81" s="27"/>
      <c r="J81" s="27">
        <v>1103.6020000000001</v>
      </c>
      <c r="K81" s="27">
        <v>1103.5</v>
      </c>
      <c r="L81" s="27">
        <v>1103.529</v>
      </c>
      <c r="M81" s="60">
        <v>1103.5989999999999</v>
      </c>
      <c r="N81" s="27">
        <v>1103.5840000000001</v>
      </c>
      <c r="O81" s="60">
        <v>1103.5920000000001</v>
      </c>
      <c r="P81" s="60">
        <v>1103.624</v>
      </c>
      <c r="Q81" s="60">
        <v>1103.6289999999999</v>
      </c>
      <c r="R81" s="60">
        <v>1103.55</v>
      </c>
      <c r="S81" s="60">
        <v>1103.694</v>
      </c>
      <c r="T81" s="60">
        <v>1103.5820000000001</v>
      </c>
      <c r="U81" s="60">
        <v>1103.548</v>
      </c>
      <c r="V81" s="71"/>
      <c r="W81" s="71">
        <f t="shared" si="64"/>
        <v>1103.5550000000001</v>
      </c>
      <c r="X81" s="89"/>
      <c r="Y81" s="27"/>
      <c r="Z81" s="29">
        <f t="shared" si="70"/>
        <v>-7.3000000000092768E-2</v>
      </c>
      <c r="AA81" s="62">
        <f t="shared" si="71"/>
        <v>5.5000000000063665E-2</v>
      </c>
      <c r="AB81" s="62">
        <f t="shared" si="72"/>
        <v>3.999999999996362E-2</v>
      </c>
      <c r="AC81" s="62">
        <f t="shared" si="51"/>
        <v>-7.4000000000069122E-2</v>
      </c>
      <c r="AD81" s="62">
        <f t="shared" si="61"/>
        <v>3.2000000000152795E-2</v>
      </c>
      <c r="AE81" s="62"/>
      <c r="AF81" s="81"/>
      <c r="AG81" s="81">
        <f t="shared" si="76"/>
        <v>-6.714285714289352E-3</v>
      </c>
      <c r="AH81" s="45"/>
      <c r="AI81" s="28"/>
      <c r="AJ81" s="62">
        <f t="shared" si="73"/>
        <v>9.8999999999932697E-2</v>
      </c>
      <c r="AK81" s="62">
        <f t="shared" si="74"/>
        <v>-6.999999999834472E-3</v>
      </c>
      <c r="AL81" s="62">
        <f t="shared" si="56"/>
        <v>3.6999999999807187E-2</v>
      </c>
      <c r="AM81" s="62">
        <f t="shared" si="75"/>
        <v>6.500000000005457E-2</v>
      </c>
      <c r="AN81" s="62">
        <f t="shared" si="63"/>
        <v>-0.14599999999995816</v>
      </c>
      <c r="AO81" s="61">
        <f t="shared" si="68"/>
        <v>9.6000000000003635E-3</v>
      </c>
      <c r="AP81" s="62"/>
      <c r="AQ81" s="62">
        <f t="shared" si="66"/>
        <v>7.0000000000618456E-3</v>
      </c>
    </row>
    <row r="82" spans="1:43" s="78" customFormat="1" x14ac:dyDescent="0.25">
      <c r="A82" s="70" t="s">
        <v>96</v>
      </c>
      <c r="B82" s="63">
        <v>2343309.1710000001</v>
      </c>
      <c r="C82" s="63">
        <v>5956829.352</v>
      </c>
      <c r="D82" s="63">
        <v>183.19200000000001</v>
      </c>
      <c r="E82" s="58" t="s">
        <v>47</v>
      </c>
      <c r="F82" s="71"/>
      <c r="G82" s="71"/>
      <c r="H82" s="71"/>
      <c r="I82" s="71"/>
      <c r="J82" s="71">
        <v>183.238</v>
      </c>
      <c r="K82" s="71">
        <v>183.47</v>
      </c>
      <c r="L82" s="71">
        <v>183.31700000000001</v>
      </c>
      <c r="M82" s="71">
        <v>183.33799999999999</v>
      </c>
      <c r="N82" s="71">
        <v>183.27199999999999</v>
      </c>
      <c r="O82" s="71">
        <v>183.27600000000001</v>
      </c>
      <c r="P82" s="71"/>
      <c r="Q82" s="60">
        <v>183.386</v>
      </c>
      <c r="R82" s="60">
        <v>183.31</v>
      </c>
      <c r="S82" s="60">
        <v>183.14400000000001</v>
      </c>
      <c r="T82" s="60">
        <v>183.291</v>
      </c>
      <c r="U82" s="60">
        <v>183.238</v>
      </c>
      <c r="V82" s="71">
        <v>183.35400000000001</v>
      </c>
      <c r="W82" s="71">
        <f t="shared" si="64"/>
        <v>183.19200000000001</v>
      </c>
      <c r="X82" s="101"/>
      <c r="Y82" s="71"/>
      <c r="Z82" s="79">
        <f t="shared" si="70"/>
        <v>7.9000000000007731E-2</v>
      </c>
      <c r="AA82" s="79">
        <f t="shared" si="71"/>
        <v>-4.5000000000015916E-2</v>
      </c>
      <c r="AB82" s="79"/>
      <c r="AC82" s="62" t="s">
        <v>100</v>
      </c>
      <c r="AD82" s="62">
        <f t="shared" si="61"/>
        <v>-1.9000000000005457E-2</v>
      </c>
      <c r="AE82" s="62">
        <f>V82-T82</f>
        <v>6.3000000000016598E-2</v>
      </c>
      <c r="AF82" s="81">
        <f t="shared" si="65"/>
        <v>-0.16200000000000614</v>
      </c>
      <c r="AG82" s="81">
        <f>(W82-J82)/7</f>
        <v>-6.5714285714274668E-3</v>
      </c>
      <c r="AH82" s="80"/>
      <c r="AI82" s="81"/>
      <c r="AJ82" s="79">
        <f t="shared" si="73"/>
        <v>-0.132000000000005</v>
      </c>
      <c r="AK82" s="79">
        <f t="shared" si="74"/>
        <v>-6.1999999999983402E-2</v>
      </c>
      <c r="AL82" s="62">
        <f t="shared" si="56"/>
        <v>0.10999999999998522</v>
      </c>
      <c r="AM82" s="62">
        <f t="shared" si="75"/>
        <v>-0.24199999999999022</v>
      </c>
      <c r="AN82" s="62">
        <f t="shared" si="63"/>
        <v>9.3999999999994088E-2</v>
      </c>
      <c r="AO82" s="61">
        <f t="shared" si="68"/>
        <v>-4.6399999999999865E-2</v>
      </c>
      <c r="AP82" s="62">
        <f>V82-U82</f>
        <v>0.11600000000001387</v>
      </c>
      <c r="AQ82" s="62">
        <f t="shared" si="66"/>
        <v>-4.5999999999992269E-2</v>
      </c>
    </row>
    <row r="83" spans="1:43" x14ac:dyDescent="0.25">
      <c r="D83" s="58"/>
      <c r="AI83" s="19"/>
      <c r="AJ83" s="19"/>
      <c r="AK83" s="19"/>
      <c r="AL83" s="19"/>
      <c r="AM83" s="19"/>
      <c r="AN83" s="19"/>
      <c r="AO83" s="19"/>
      <c r="AP83"/>
      <c r="AQ83" s="58"/>
    </row>
    <row r="84" spans="1:43" x14ac:dyDescent="0.25">
      <c r="A84" s="11">
        <v>-0.15</v>
      </c>
      <c r="B84" s="20" t="s">
        <v>93</v>
      </c>
      <c r="E84"/>
      <c r="AP84"/>
      <c r="AQ84" s="58"/>
    </row>
    <row r="86" spans="1:43" x14ac:dyDescent="0.25">
      <c r="A86" s="18"/>
      <c r="B86" s="58" t="s">
        <v>106</v>
      </c>
      <c r="C86" s="58"/>
      <c r="D86" s="58"/>
      <c r="E86" s="58"/>
      <c r="K86" s="10"/>
      <c r="AI86" s="19"/>
      <c r="AJ86" s="19"/>
      <c r="AK86" s="19"/>
      <c r="AL86" s="19"/>
      <c r="AM86" s="19"/>
      <c r="AN86" s="19"/>
      <c r="AO86" s="19"/>
      <c r="AP86"/>
      <c r="AQ86" s="58"/>
    </row>
    <row r="87" spans="1:43" x14ac:dyDescent="0.25">
      <c r="B87" s="66" t="s">
        <v>87</v>
      </c>
      <c r="C87" s="58"/>
      <c r="D87" s="58"/>
      <c r="E87" s="58"/>
      <c r="AP87"/>
      <c r="AQ87" s="58"/>
    </row>
    <row r="88" spans="1:43" x14ac:dyDescent="0.25">
      <c r="B88" s="66" t="s">
        <v>110</v>
      </c>
      <c r="C88" s="58"/>
      <c r="D88" s="58"/>
      <c r="E88" s="58"/>
      <c r="AP88"/>
      <c r="AQ88" s="58"/>
    </row>
    <row r="89" spans="1:43" x14ac:dyDescent="0.25">
      <c r="B89" s="66" t="s">
        <v>88</v>
      </c>
      <c r="C89" s="58"/>
      <c r="D89" s="58"/>
      <c r="E89" s="58"/>
      <c r="AP89"/>
      <c r="AQ89" s="58"/>
    </row>
    <row r="90" spans="1:43" x14ac:dyDescent="0.25">
      <c r="B90" s="66" t="s">
        <v>89</v>
      </c>
      <c r="C90" s="58"/>
      <c r="D90" s="58"/>
      <c r="E90" s="58"/>
      <c r="AP90"/>
      <c r="AQ90" s="58"/>
    </row>
    <row r="91" spans="1:43" s="36" customFormat="1" x14ac:dyDescent="0.25">
      <c r="A91" s="2"/>
      <c r="B91" s="66" t="s">
        <v>90</v>
      </c>
      <c r="C91" s="58"/>
      <c r="D91" s="58"/>
      <c r="E91" s="58"/>
      <c r="M91" s="57"/>
      <c r="N91" s="42"/>
      <c r="O91" s="58"/>
      <c r="P91" s="58"/>
      <c r="Q91" s="58"/>
      <c r="R91" s="58"/>
      <c r="S91" s="58"/>
      <c r="T91" s="58"/>
      <c r="U91" s="58"/>
      <c r="V91" s="78"/>
      <c r="W91" s="78"/>
      <c r="AA91" s="58"/>
      <c r="AB91" s="58"/>
      <c r="AC91" s="58"/>
      <c r="AE91" s="58"/>
      <c r="AF91" s="58"/>
      <c r="AG91" s="58"/>
      <c r="AH91" s="44"/>
      <c r="AJ91" s="42"/>
      <c r="AK91" s="58"/>
      <c r="AL91" s="44"/>
      <c r="AM91" s="58"/>
      <c r="AN91" s="58"/>
      <c r="AO91" s="58"/>
      <c r="AQ91" s="58"/>
    </row>
    <row r="92" spans="1:43" x14ac:dyDescent="0.25">
      <c r="B92" s="66" t="s">
        <v>100</v>
      </c>
      <c r="C92" s="58"/>
      <c r="D92" s="58"/>
      <c r="E92" s="58"/>
      <c r="AP92"/>
      <c r="AQ92" s="58"/>
    </row>
    <row r="93" spans="1:43" x14ac:dyDescent="0.25">
      <c r="B93" s="7"/>
      <c r="C93" s="58"/>
      <c r="D93" s="58"/>
      <c r="AP93"/>
      <c r="AQ93" s="58"/>
    </row>
    <row r="94" spans="1:43" x14ac:dyDescent="0.25">
      <c r="A94" s="56"/>
      <c r="B94" s="66" t="s">
        <v>124</v>
      </c>
      <c r="C94" s="58"/>
      <c r="D94" s="58"/>
      <c r="AP94"/>
      <c r="AQ94" s="58"/>
    </row>
    <row r="95" spans="1:43" x14ac:dyDescent="0.25">
      <c r="B95" s="58"/>
      <c r="C95" s="58"/>
      <c r="D95" s="58"/>
      <c r="AP95"/>
      <c r="AQ95" s="58"/>
    </row>
    <row r="96" spans="1:43" x14ac:dyDescent="0.25">
      <c r="A96" s="83"/>
      <c r="B96" s="66" t="s">
        <v>107</v>
      </c>
      <c r="C96" s="58"/>
      <c r="D96" s="58"/>
      <c r="AP96"/>
      <c r="AQ96" s="58"/>
    </row>
    <row r="97" spans="42:43" x14ac:dyDescent="0.25">
      <c r="AP97"/>
      <c r="AQ97" s="58"/>
    </row>
    <row r="98" spans="42:43" x14ac:dyDescent="0.25">
      <c r="AP98"/>
      <c r="AQ98" s="58"/>
    </row>
    <row r="99" spans="42:43" x14ac:dyDescent="0.25">
      <c r="AP99"/>
      <c r="AQ99" s="58"/>
    </row>
    <row r="100" spans="42:43" x14ac:dyDescent="0.25">
      <c r="AP100"/>
      <c r="AQ100" s="58"/>
    </row>
    <row r="101" spans="42:43" x14ac:dyDescent="0.25">
      <c r="AP101"/>
      <c r="AQ101" s="58"/>
    </row>
    <row r="102" spans="42:43" x14ac:dyDescent="0.25">
      <c r="AP102"/>
      <c r="AQ102" s="58"/>
    </row>
    <row r="103" spans="42:43" x14ac:dyDescent="0.25">
      <c r="AP103"/>
      <c r="AQ103" s="58"/>
    </row>
    <row r="104" spans="42:43" x14ac:dyDescent="0.25">
      <c r="AP104"/>
      <c r="AQ104" s="58"/>
    </row>
    <row r="105" spans="42:43" x14ac:dyDescent="0.25">
      <c r="AP105"/>
      <c r="AQ105" s="58"/>
    </row>
    <row r="106" spans="42:43" x14ac:dyDescent="0.25">
      <c r="AP106"/>
      <c r="AQ106" s="58"/>
    </row>
    <row r="107" spans="42:43" x14ac:dyDescent="0.25">
      <c r="AP107"/>
      <c r="AQ107" s="58"/>
    </row>
    <row r="108" spans="42:43" x14ac:dyDescent="0.25">
      <c r="AP108"/>
      <c r="AQ108" s="58"/>
    </row>
    <row r="109" spans="42:43" x14ac:dyDescent="0.25">
      <c r="AP109"/>
      <c r="AQ109" s="58"/>
    </row>
    <row r="110" spans="42:43" x14ac:dyDescent="0.25">
      <c r="AP110"/>
      <c r="AQ110" s="58"/>
    </row>
    <row r="111" spans="42:43" x14ac:dyDescent="0.25">
      <c r="AP111"/>
      <c r="AQ111" s="58"/>
    </row>
    <row r="112" spans="42:43" x14ac:dyDescent="0.25">
      <c r="AP112"/>
      <c r="AQ112" s="58"/>
    </row>
    <row r="113" spans="42:43" x14ac:dyDescent="0.25">
      <c r="AP113"/>
      <c r="AQ113" s="58"/>
    </row>
    <row r="114" spans="42:43" x14ac:dyDescent="0.25">
      <c r="AP114"/>
      <c r="AQ114" s="58"/>
    </row>
    <row r="115" spans="42:43" x14ac:dyDescent="0.25">
      <c r="AP115"/>
      <c r="AQ115" s="58"/>
    </row>
    <row r="116" spans="42:43" x14ac:dyDescent="0.25">
      <c r="AP116"/>
      <c r="AQ116" s="58"/>
    </row>
    <row r="117" spans="42:43" x14ac:dyDescent="0.25">
      <c r="AP117"/>
      <c r="AQ117" s="58"/>
    </row>
    <row r="118" spans="42:43" x14ac:dyDescent="0.25">
      <c r="AP118"/>
      <c r="AQ118" s="58"/>
    </row>
    <row r="119" spans="42:43" x14ac:dyDescent="0.25">
      <c r="AP119"/>
      <c r="AQ119" s="58"/>
    </row>
    <row r="120" spans="42:43" x14ac:dyDescent="0.25">
      <c r="AP120"/>
      <c r="AQ120" s="58"/>
    </row>
    <row r="121" spans="42:43" x14ac:dyDescent="0.25">
      <c r="AP121"/>
      <c r="AQ121" s="58"/>
    </row>
    <row r="122" spans="42:43" x14ac:dyDescent="0.25">
      <c r="AP122"/>
      <c r="AQ122" s="58"/>
    </row>
    <row r="123" spans="42:43" x14ac:dyDescent="0.25">
      <c r="AP123"/>
      <c r="AQ123" s="58"/>
    </row>
    <row r="124" spans="42:43" x14ac:dyDescent="0.25">
      <c r="AP124"/>
      <c r="AQ124" s="58"/>
    </row>
    <row r="125" spans="42:43" x14ac:dyDescent="0.25">
      <c r="AP125"/>
      <c r="AQ125" s="58"/>
    </row>
    <row r="126" spans="42:43" x14ac:dyDescent="0.25">
      <c r="AP126"/>
      <c r="AQ126" s="58"/>
    </row>
    <row r="127" spans="42:43" x14ac:dyDescent="0.25">
      <c r="AP127"/>
      <c r="AQ127" s="58"/>
    </row>
  </sheetData>
  <mergeCells count="14">
    <mergeCell ref="B63:C63"/>
    <mergeCell ref="B25:D25"/>
    <mergeCell ref="B33:D33"/>
    <mergeCell ref="B28:D28"/>
    <mergeCell ref="B18:D18"/>
    <mergeCell ref="A1:AI1"/>
    <mergeCell ref="A2:AI2"/>
    <mergeCell ref="B3:D3"/>
    <mergeCell ref="F3:L3"/>
    <mergeCell ref="B4:C4"/>
    <mergeCell ref="X3:AF3"/>
    <mergeCell ref="K4:W4"/>
    <mergeCell ref="AH3:AP3"/>
    <mergeCell ref="F4:J4"/>
  </mergeCells>
  <pageMargins left="0.7" right="0.45" top="0.5" bottom="0.5" header="0.3" footer="0.3"/>
  <pageSetup paperSize="3" scale="48" orientation="landscape" verticalDpi="4" r:id="rId1"/>
  <ignoredErrors>
    <ignoredError sqref="W55 W51 AG54 AO36 AO4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T119"/>
  <sheetViews>
    <sheetView zoomScaleNormal="100" workbookViewId="0">
      <pane xSplit="5" ySplit="5" topLeftCell="AD47" activePane="bottomRight" state="frozen"/>
      <selection pane="topRight" activeCell="F1" sqref="F1"/>
      <selection pane="bottomLeft" activeCell="A6" sqref="A6"/>
      <selection pane="bottomRight" activeCell="AG6" sqref="AG6:AG82"/>
    </sheetView>
  </sheetViews>
  <sheetFormatPr defaultRowHeight="15" x14ac:dyDescent="0.25"/>
  <cols>
    <col min="1" max="1" width="9.140625" style="2"/>
    <col min="2" max="3" width="15.7109375" customWidth="1"/>
    <col min="4" max="4" width="9.42578125" customWidth="1"/>
    <col min="5" max="5" width="22.42578125" style="1" customWidth="1"/>
    <col min="6" max="7" width="10.7109375" customWidth="1"/>
    <col min="8" max="8" width="10.85546875" customWidth="1"/>
    <col min="9" max="11" width="10.7109375" customWidth="1"/>
    <col min="12" max="12" width="10.7109375" style="13" customWidth="1"/>
    <col min="13" max="13" width="10.7109375" style="42" customWidth="1"/>
    <col min="14" max="14" width="10.7109375" style="48" customWidth="1"/>
    <col min="15" max="21" width="10.7109375" style="58" customWidth="1"/>
    <col min="22" max="23" width="10.7109375" style="78" customWidth="1"/>
    <col min="24" max="26" width="10.7109375" customWidth="1"/>
    <col min="27" max="27" width="10.7109375" style="12" customWidth="1"/>
    <col min="28" max="33" width="10.7109375" style="58" customWidth="1"/>
    <col min="34" max="34" width="10.7109375" style="44" customWidth="1"/>
    <col min="35" max="35" width="10.7109375" customWidth="1"/>
    <col min="36" max="36" width="10.7109375" style="42" customWidth="1"/>
    <col min="37" max="39" width="10.7109375" style="58" customWidth="1"/>
    <col min="40" max="40" width="10.7109375" style="44" customWidth="1"/>
    <col min="41" max="41" width="10.7109375" style="58" customWidth="1"/>
    <col min="42" max="43" width="9.28515625" style="9" customWidth="1"/>
    <col min="44" max="44" width="14" style="8" customWidth="1"/>
  </cols>
  <sheetData>
    <row r="1" spans="1:44" s="20" customFormat="1" ht="18.75" x14ac:dyDescent="0.3">
      <c r="A1" s="121" t="s">
        <v>82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K1" s="58"/>
      <c r="AL1" s="58"/>
      <c r="AM1" s="58"/>
      <c r="AN1" s="44"/>
      <c r="AO1" s="58"/>
      <c r="AP1" s="9"/>
      <c r="AQ1" s="9"/>
      <c r="AR1" s="8"/>
    </row>
    <row r="2" spans="1:44" s="20" customFormat="1" ht="18.75" x14ac:dyDescent="0.3">
      <c r="A2" s="121" t="s">
        <v>81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K2" s="58"/>
      <c r="AL2" s="58"/>
      <c r="AM2" s="58"/>
      <c r="AN2" s="44"/>
      <c r="AO2" s="58"/>
      <c r="AP2" s="9"/>
      <c r="AQ2" s="9"/>
      <c r="AR2" s="8"/>
    </row>
    <row r="3" spans="1:44" s="20" customFormat="1" x14ac:dyDescent="0.25">
      <c r="A3" s="22"/>
      <c r="B3" s="136" t="s">
        <v>126</v>
      </c>
      <c r="C3" s="137"/>
      <c r="D3" s="138"/>
      <c r="E3" s="25"/>
      <c r="F3" s="125"/>
      <c r="G3" s="125"/>
      <c r="H3" s="125"/>
      <c r="I3" s="125"/>
      <c r="J3" s="125"/>
      <c r="K3" s="125"/>
      <c r="L3" s="125"/>
      <c r="M3" s="40"/>
      <c r="N3" s="46"/>
      <c r="O3" s="67"/>
      <c r="P3" s="69"/>
      <c r="Q3" s="75"/>
      <c r="R3" s="88"/>
      <c r="S3" s="91"/>
      <c r="T3" s="94"/>
      <c r="U3" s="98"/>
      <c r="V3" s="103"/>
      <c r="W3" s="103"/>
      <c r="X3" s="127" t="s">
        <v>86</v>
      </c>
      <c r="Y3" s="128"/>
      <c r="Z3" s="128"/>
      <c r="AA3" s="128"/>
      <c r="AB3" s="128"/>
      <c r="AC3" s="128"/>
      <c r="AD3" s="128"/>
      <c r="AE3" s="128"/>
      <c r="AF3" s="128"/>
      <c r="AG3" s="105"/>
      <c r="AH3" s="127" t="s">
        <v>92</v>
      </c>
      <c r="AI3" s="139"/>
      <c r="AJ3" s="139"/>
      <c r="AK3" s="139"/>
      <c r="AL3" s="139"/>
      <c r="AM3" s="139"/>
      <c r="AN3" s="139"/>
      <c r="AO3" s="139"/>
      <c r="AP3" s="140"/>
      <c r="AQ3" s="74" t="s">
        <v>94</v>
      </c>
      <c r="AR3" s="8"/>
    </row>
    <row r="4" spans="1:44" x14ac:dyDescent="0.25">
      <c r="A4" s="38"/>
      <c r="B4" s="134" t="s">
        <v>84</v>
      </c>
      <c r="C4" s="135"/>
      <c r="D4" s="24" t="s">
        <v>83</v>
      </c>
      <c r="E4" s="76"/>
      <c r="F4" s="127" t="s">
        <v>85</v>
      </c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31"/>
      <c r="W4" s="106"/>
      <c r="X4" s="47">
        <v>40878</v>
      </c>
      <c r="Y4" s="33">
        <v>41244</v>
      </c>
      <c r="Z4" s="34">
        <v>41609</v>
      </c>
      <c r="AA4" s="34">
        <v>41974</v>
      </c>
      <c r="AB4" s="65">
        <v>42339</v>
      </c>
      <c r="AC4" s="65">
        <v>42705</v>
      </c>
      <c r="AD4" s="65">
        <v>43070</v>
      </c>
      <c r="AE4" s="65">
        <v>43435</v>
      </c>
      <c r="AF4" s="96">
        <v>43800</v>
      </c>
      <c r="AG4" s="110">
        <v>40878</v>
      </c>
      <c r="AH4" s="5">
        <v>41091</v>
      </c>
      <c r="AI4" s="5">
        <v>41456</v>
      </c>
      <c r="AJ4" s="5">
        <v>41821</v>
      </c>
      <c r="AK4" s="5">
        <v>42186</v>
      </c>
      <c r="AL4" s="5">
        <v>42552</v>
      </c>
      <c r="AM4" s="5">
        <v>42917</v>
      </c>
      <c r="AN4" s="5">
        <v>43299</v>
      </c>
      <c r="AO4" s="5">
        <v>41091</v>
      </c>
      <c r="AP4" s="5">
        <v>43647</v>
      </c>
      <c r="AQ4" s="5">
        <v>43647</v>
      </c>
      <c r="AR4"/>
    </row>
    <row r="5" spans="1:44" x14ac:dyDescent="0.25">
      <c r="A5" s="21" t="s">
        <v>54</v>
      </c>
      <c r="B5" s="21" t="s">
        <v>55</v>
      </c>
      <c r="C5" s="23" t="s">
        <v>56</v>
      </c>
      <c r="D5" s="60" t="s">
        <v>57</v>
      </c>
      <c r="E5" s="3" t="s">
        <v>58</v>
      </c>
      <c r="F5" s="59">
        <v>40878</v>
      </c>
      <c r="G5" s="93">
        <v>41091</v>
      </c>
      <c r="H5" s="59">
        <v>41244</v>
      </c>
      <c r="I5" s="93">
        <v>41456</v>
      </c>
      <c r="J5" s="59">
        <v>41609</v>
      </c>
      <c r="K5" s="93">
        <v>41821</v>
      </c>
      <c r="L5" s="59">
        <v>41974</v>
      </c>
      <c r="M5" s="93">
        <v>42186</v>
      </c>
      <c r="N5" s="59">
        <v>42339</v>
      </c>
      <c r="O5" s="93">
        <v>42567</v>
      </c>
      <c r="P5" s="59">
        <v>42705</v>
      </c>
      <c r="Q5" s="93">
        <v>42917</v>
      </c>
      <c r="R5" s="59">
        <v>43070</v>
      </c>
      <c r="S5" s="93">
        <v>43282</v>
      </c>
      <c r="T5" s="59">
        <v>43435</v>
      </c>
      <c r="U5" s="93">
        <v>43647</v>
      </c>
      <c r="V5" s="104">
        <v>43800</v>
      </c>
      <c r="W5" s="104">
        <v>44166</v>
      </c>
      <c r="X5" s="26">
        <v>41244</v>
      </c>
      <c r="Y5" s="26">
        <v>41609</v>
      </c>
      <c r="Z5" s="26">
        <v>41974</v>
      </c>
      <c r="AA5" s="26">
        <v>42339</v>
      </c>
      <c r="AB5" s="59">
        <v>42705</v>
      </c>
      <c r="AC5" s="59">
        <v>43070</v>
      </c>
      <c r="AD5" s="59">
        <v>43435</v>
      </c>
      <c r="AE5" s="59">
        <v>43800</v>
      </c>
      <c r="AF5" s="97">
        <v>44166</v>
      </c>
      <c r="AG5" s="59">
        <v>44166</v>
      </c>
      <c r="AH5" s="26">
        <v>41456</v>
      </c>
      <c r="AI5" s="26">
        <v>41821</v>
      </c>
      <c r="AJ5" s="26">
        <v>42186</v>
      </c>
      <c r="AK5" s="59">
        <v>42552</v>
      </c>
      <c r="AL5" s="59">
        <v>42917</v>
      </c>
      <c r="AM5" s="59">
        <v>43282</v>
      </c>
      <c r="AN5" s="26">
        <v>43665</v>
      </c>
      <c r="AO5" s="59">
        <v>43647</v>
      </c>
      <c r="AP5" s="59">
        <v>43800</v>
      </c>
      <c r="AQ5" s="59">
        <v>44166</v>
      </c>
      <c r="AR5"/>
    </row>
    <row r="6" spans="1:44" x14ac:dyDescent="0.25">
      <c r="A6" s="3">
        <v>29</v>
      </c>
      <c r="B6" s="60">
        <v>2255715.179</v>
      </c>
      <c r="C6" s="60">
        <v>6232765.3099999996</v>
      </c>
      <c r="D6" s="60">
        <v>277.02800000000002</v>
      </c>
      <c r="E6" s="6" t="s">
        <v>0</v>
      </c>
      <c r="F6" s="64"/>
      <c r="G6" s="64">
        <v>279.42200000000003</v>
      </c>
      <c r="H6" s="64">
        <v>279.26499999999999</v>
      </c>
      <c r="I6" s="64">
        <v>279.24599999999998</v>
      </c>
      <c r="J6" s="64">
        <v>278.84500000000003</v>
      </c>
      <c r="K6" s="64">
        <v>278.726</v>
      </c>
      <c r="L6" s="64">
        <v>278.589</v>
      </c>
      <c r="M6" s="51">
        <v>278.48599999999999</v>
      </c>
      <c r="N6" s="64">
        <v>278.238</v>
      </c>
      <c r="O6" s="64">
        <v>278.11799999999999</v>
      </c>
      <c r="P6" s="64">
        <v>277.93599999999998</v>
      </c>
      <c r="Q6" s="64">
        <v>277.791</v>
      </c>
      <c r="R6" s="64">
        <v>277.73</v>
      </c>
      <c r="S6" s="60">
        <v>277.76799999999997</v>
      </c>
      <c r="T6" s="60">
        <v>277.36200000000002</v>
      </c>
      <c r="U6" s="60">
        <v>277.33999999999997</v>
      </c>
      <c r="V6" s="71">
        <v>277.20999999999998</v>
      </c>
      <c r="W6" s="71">
        <f t="shared" ref="W6:W69" si="0">D6</f>
        <v>277.02800000000002</v>
      </c>
      <c r="X6" s="28"/>
      <c r="Y6" s="27">
        <f>J6-H6</f>
        <v>-0.41999999999995907</v>
      </c>
      <c r="Z6" s="29">
        <f>L6-J6</f>
        <v>-0.25600000000002865</v>
      </c>
      <c r="AA6" s="50">
        <f>N6-L6</f>
        <v>-0.35099999999999909</v>
      </c>
      <c r="AB6" s="62">
        <f>P6-N6</f>
        <v>-0.30200000000002092</v>
      </c>
      <c r="AC6" s="62">
        <f>R6-P6</f>
        <v>-0.20599999999996044</v>
      </c>
      <c r="AD6" s="62">
        <f>T6-R6</f>
        <v>-0.367999999999995</v>
      </c>
      <c r="AE6" s="62">
        <f>V6-T6</f>
        <v>-0.15200000000004366</v>
      </c>
      <c r="AF6" s="81">
        <f>W6-V6</f>
        <v>-0.18199999999995953</v>
      </c>
      <c r="AG6" s="81">
        <f>(W6-H6)/8</f>
        <v>-0.27962499999999579</v>
      </c>
      <c r="AH6" s="45">
        <f>I6-G6</f>
        <v>-0.17600000000004457</v>
      </c>
      <c r="AI6" s="29">
        <f>K6-I6</f>
        <v>-0.51999999999998181</v>
      </c>
      <c r="AJ6" s="29">
        <f>M6-K6</f>
        <v>-0.24000000000000909</v>
      </c>
      <c r="AK6" s="62">
        <f>O6-M6</f>
        <v>-0.367999999999995</v>
      </c>
      <c r="AL6" s="62">
        <f>Q6-O6</f>
        <v>-0.32699999999999818</v>
      </c>
      <c r="AM6" s="62">
        <f>S6-Q6</f>
        <v>-2.3000000000024556E-2</v>
      </c>
      <c r="AN6" s="62">
        <f>U6-S6</f>
        <v>-0.42799999999999727</v>
      </c>
      <c r="AO6" s="62">
        <f>(U6-$G6)/7</f>
        <v>-0.29742857142857865</v>
      </c>
      <c r="AP6" s="62">
        <f>V6-U6</f>
        <v>-0.12999999999999545</v>
      </c>
      <c r="AQ6" s="62">
        <f>W6-U6</f>
        <v>-0.31199999999995498</v>
      </c>
      <c r="AR6"/>
    </row>
    <row r="7" spans="1:44" x14ac:dyDescent="0.25">
      <c r="A7" s="3">
        <v>62</v>
      </c>
      <c r="B7" s="60">
        <v>2138252.5580000002</v>
      </c>
      <c r="C7" s="60">
        <v>6339533.1330000004</v>
      </c>
      <c r="D7" s="60">
        <v>288.851</v>
      </c>
      <c r="E7" s="6" t="s">
        <v>1</v>
      </c>
      <c r="F7" s="27"/>
      <c r="G7" s="27">
        <v>289.17399999999998</v>
      </c>
      <c r="H7" s="27">
        <v>288.97800000000001</v>
      </c>
      <c r="I7" s="27">
        <v>289.06900000000002</v>
      </c>
      <c r="J7" s="27">
        <v>288.74599999999998</v>
      </c>
      <c r="K7" s="27">
        <v>288.87200000000001</v>
      </c>
      <c r="L7" s="27">
        <v>288.82400000000001</v>
      </c>
      <c r="M7" s="51">
        <v>289.02800000000002</v>
      </c>
      <c r="N7" s="64">
        <v>288.904</v>
      </c>
      <c r="O7" s="64">
        <v>288.93099999999998</v>
      </c>
      <c r="P7" s="60">
        <v>288.80500000000001</v>
      </c>
      <c r="Q7" s="60">
        <v>288.88299999999998</v>
      </c>
      <c r="R7" s="60">
        <v>288.87</v>
      </c>
      <c r="S7" s="60">
        <v>289.02600000000001</v>
      </c>
      <c r="T7" s="60">
        <v>288.803</v>
      </c>
      <c r="U7" s="60">
        <v>288.93700000000001</v>
      </c>
      <c r="V7" s="71">
        <v>288.86799999999999</v>
      </c>
      <c r="W7" s="71">
        <f t="shared" si="0"/>
        <v>288.851</v>
      </c>
      <c r="X7" s="28"/>
      <c r="Y7" s="27">
        <f>J7-H7</f>
        <v>-0.23200000000002774</v>
      </c>
      <c r="Z7" s="29">
        <f>L7-J7</f>
        <v>7.8000000000031378E-2</v>
      </c>
      <c r="AA7" s="50">
        <f>N7-L7</f>
        <v>7.9999999999984084E-2</v>
      </c>
      <c r="AB7" s="62">
        <f t="shared" ref="AB7:AB8" si="1">P7-N7</f>
        <v>-9.8999999999989541E-2</v>
      </c>
      <c r="AC7" s="62">
        <f>R7-P7</f>
        <v>6.4999999999997726E-2</v>
      </c>
      <c r="AD7" s="62">
        <f t="shared" ref="AD7:AD70" si="2">T7-R7</f>
        <v>-6.7000000000007276E-2</v>
      </c>
      <c r="AE7" s="62">
        <f t="shared" ref="AE7:AE70" si="3">V7-T7</f>
        <v>6.4999999999997726E-2</v>
      </c>
      <c r="AF7" s="81">
        <f>W7-V7</f>
        <v>-1.6999999999995907E-2</v>
      </c>
      <c r="AG7" s="81">
        <f>(W7-H7)/8</f>
        <v>-1.5875000000001194E-2</v>
      </c>
      <c r="AH7" s="45">
        <f>I7-G7</f>
        <v>-0.10499999999996135</v>
      </c>
      <c r="AI7" s="29">
        <f>K7-I7</f>
        <v>-0.19700000000000273</v>
      </c>
      <c r="AJ7" s="29">
        <f>M7-K7</f>
        <v>0.15600000000000591</v>
      </c>
      <c r="AK7" s="62">
        <f>O7-M7</f>
        <v>-9.7000000000036835E-2</v>
      </c>
      <c r="AL7" s="62">
        <f>Q7-O7</f>
        <v>-4.8000000000001819E-2</v>
      </c>
      <c r="AM7" s="62">
        <f t="shared" ref="AM7:AM24" si="4">S7-Q7</f>
        <v>0.1430000000000291</v>
      </c>
      <c r="AN7" s="62">
        <f t="shared" ref="AN7:AN70" si="5">U7-S7</f>
        <v>-8.8999999999998636E-2</v>
      </c>
      <c r="AO7" s="62">
        <f t="shared" ref="AO7:AO9" si="6">(U7-$G7)/7</f>
        <v>-3.3857142857138048E-2</v>
      </c>
      <c r="AP7" s="62">
        <f t="shared" ref="AP7:AP70" si="7">V7-U7</f>
        <v>-6.9000000000016826E-2</v>
      </c>
      <c r="AQ7" s="62">
        <f t="shared" ref="AQ7:AQ70" si="8">W7-U7</f>
        <v>-8.6000000000012733E-2</v>
      </c>
      <c r="AR7"/>
    </row>
    <row r="8" spans="1:44" x14ac:dyDescent="0.25">
      <c r="A8" s="3">
        <v>63</v>
      </c>
      <c r="B8" s="60">
        <v>2068328.477</v>
      </c>
      <c r="C8" s="60">
        <v>6163768.0159999998</v>
      </c>
      <c r="D8" s="60">
        <v>328.54399999999998</v>
      </c>
      <c r="E8" s="6" t="s">
        <v>48</v>
      </c>
      <c r="F8" s="27"/>
      <c r="G8" s="27">
        <v>330.108</v>
      </c>
      <c r="H8" s="27">
        <v>330.06200000000001</v>
      </c>
      <c r="I8" s="27">
        <v>329.892</v>
      </c>
      <c r="J8" s="27">
        <v>329.53800000000001</v>
      </c>
      <c r="K8" s="27">
        <v>329.02499999999998</v>
      </c>
      <c r="L8" s="27">
        <v>329.14800000000002</v>
      </c>
      <c r="M8" s="51">
        <v>328.9</v>
      </c>
      <c r="N8" s="64">
        <v>328.80500000000001</v>
      </c>
      <c r="O8" s="60">
        <v>328.74900000000002</v>
      </c>
      <c r="P8" s="60">
        <v>328.68</v>
      </c>
      <c r="Q8" s="60">
        <v>328.92599999999999</v>
      </c>
      <c r="R8" s="60">
        <v>329.06</v>
      </c>
      <c r="S8" s="60">
        <v>329.02</v>
      </c>
      <c r="T8" s="60">
        <v>328.92700000000002</v>
      </c>
      <c r="U8" s="60">
        <v>329.03399999999999</v>
      </c>
      <c r="V8" s="71">
        <v>329.03699999999998</v>
      </c>
      <c r="W8" s="71">
        <f t="shared" si="0"/>
        <v>328.54399999999998</v>
      </c>
      <c r="X8" s="28"/>
      <c r="Y8" s="27">
        <f>J8-H8</f>
        <v>-0.52400000000000091</v>
      </c>
      <c r="Z8" s="29">
        <f>L8-J8</f>
        <v>-0.38999999999998636</v>
      </c>
      <c r="AA8" s="50">
        <f>N8-L8</f>
        <v>-0.34300000000001774</v>
      </c>
      <c r="AB8" s="62">
        <f t="shared" si="1"/>
        <v>-0.125</v>
      </c>
      <c r="AC8" s="62">
        <f>R8-P8</f>
        <v>0.37999999999999545</v>
      </c>
      <c r="AD8" s="62">
        <f t="shared" si="2"/>
        <v>-0.13299999999998136</v>
      </c>
      <c r="AE8" s="62">
        <f t="shared" si="3"/>
        <v>0.1099999999999568</v>
      </c>
      <c r="AF8" s="81">
        <f t="shared" ref="AF8:AF70" si="9">W8-V8</f>
        <v>-0.492999999999995</v>
      </c>
      <c r="AG8" s="81">
        <f>(W8-H8)/8</f>
        <v>-0.18975000000000364</v>
      </c>
      <c r="AH8" s="45">
        <f>I8-G8</f>
        <v>-0.21600000000000819</v>
      </c>
      <c r="AI8" s="29">
        <f>K8-I8</f>
        <v>-0.86700000000001864</v>
      </c>
      <c r="AJ8" s="29">
        <f>M8-K8</f>
        <v>-0.125</v>
      </c>
      <c r="AK8" s="62">
        <f>O8-M8</f>
        <v>-0.15099999999995362</v>
      </c>
      <c r="AL8" s="62">
        <f>Q8-O8</f>
        <v>0.17699999999996407</v>
      </c>
      <c r="AM8" s="62">
        <f t="shared" si="4"/>
        <v>9.3999999999994088E-2</v>
      </c>
      <c r="AN8" s="62">
        <f t="shared" si="5"/>
        <v>1.4000000000010004E-2</v>
      </c>
      <c r="AO8" s="62">
        <f t="shared" si="6"/>
        <v>-0.15342857142857319</v>
      </c>
      <c r="AP8" s="62">
        <f t="shared" si="7"/>
        <v>2.9999999999859028E-3</v>
      </c>
      <c r="AQ8" s="62">
        <f t="shared" si="8"/>
        <v>-0.49000000000000909</v>
      </c>
      <c r="AR8"/>
    </row>
    <row r="9" spans="1:44" s="78" customFormat="1" x14ac:dyDescent="0.25">
      <c r="A9" s="41">
        <v>101</v>
      </c>
      <c r="B9" s="60">
        <v>2213141.1529999999</v>
      </c>
      <c r="C9" s="60">
        <v>6133281.4550000001</v>
      </c>
      <c r="D9" s="63">
        <v>140.06700000000001</v>
      </c>
      <c r="E9" s="43" t="s">
        <v>60</v>
      </c>
      <c r="F9" s="71">
        <v>141.89400000000001</v>
      </c>
      <c r="G9" s="71">
        <v>141.75299999999999</v>
      </c>
      <c r="H9" s="71">
        <v>141.78399999999999</v>
      </c>
      <c r="I9" s="71">
        <v>141.66800000000001</v>
      </c>
      <c r="J9" s="71">
        <v>141.39400000000001</v>
      </c>
      <c r="K9" s="71">
        <v>141.35400000000001</v>
      </c>
      <c r="L9" s="71">
        <v>141.36799999999999</v>
      </c>
      <c r="M9" s="82">
        <v>141.19399999999999</v>
      </c>
      <c r="N9" s="71">
        <v>140.999</v>
      </c>
      <c r="O9" s="82">
        <v>140.97</v>
      </c>
      <c r="P9" s="71"/>
      <c r="Q9" s="60">
        <v>140.6</v>
      </c>
      <c r="R9" s="60">
        <v>140.6</v>
      </c>
      <c r="S9" s="60">
        <v>140.589</v>
      </c>
      <c r="T9" s="60">
        <v>140.38300000000001</v>
      </c>
      <c r="U9" s="60">
        <v>140.33600000000001</v>
      </c>
      <c r="V9" s="71"/>
      <c r="W9" s="71">
        <f t="shared" si="0"/>
        <v>140.06700000000001</v>
      </c>
      <c r="X9" s="71">
        <f>H9-F9</f>
        <v>-0.11000000000001364</v>
      </c>
      <c r="Y9" s="71">
        <f>J9-H9</f>
        <v>-0.38999999999998636</v>
      </c>
      <c r="Z9" s="79">
        <f>L9-J9</f>
        <v>-2.6000000000010459E-2</v>
      </c>
      <c r="AA9" s="79">
        <f>N9-L9</f>
        <v>-0.36899999999999977</v>
      </c>
      <c r="AB9" s="79"/>
      <c r="AC9" s="62" t="s">
        <v>100</v>
      </c>
      <c r="AD9" s="62">
        <f t="shared" si="2"/>
        <v>-0.21699999999998454</v>
      </c>
      <c r="AE9" s="62"/>
      <c r="AF9" s="71"/>
      <c r="AG9" s="79">
        <f>(W9-F9)/9</f>
        <v>-0.20299999999999979</v>
      </c>
      <c r="AH9" s="80">
        <f>I9-G9</f>
        <v>-8.4999999999979536E-2</v>
      </c>
      <c r="AI9" s="79">
        <f>K9-I9</f>
        <v>-0.31399999999999295</v>
      </c>
      <c r="AJ9" s="79">
        <f>M9-K9</f>
        <v>-0.16000000000002501</v>
      </c>
      <c r="AK9" s="79">
        <f>O9-M9</f>
        <v>-0.22399999999998954</v>
      </c>
      <c r="AL9" s="62">
        <f>Q9-O9</f>
        <v>-0.37000000000000455</v>
      </c>
      <c r="AM9" s="62">
        <f t="shared" si="4"/>
        <v>-1.099999999999568E-2</v>
      </c>
      <c r="AN9" s="62">
        <f t="shared" si="5"/>
        <v>-0.2529999999999859</v>
      </c>
      <c r="AO9" s="62">
        <f t="shared" si="6"/>
        <v>-0.2024285714285676</v>
      </c>
      <c r="AP9" s="62"/>
      <c r="AQ9" s="62">
        <f t="shared" si="8"/>
        <v>-0.26900000000000546</v>
      </c>
    </row>
    <row r="10" spans="1:44" s="78" customFormat="1" x14ac:dyDescent="0.25">
      <c r="A10" s="41">
        <v>104</v>
      </c>
      <c r="B10" s="60">
        <v>2167435.9380000001</v>
      </c>
      <c r="C10" s="60">
        <v>6185519.96</v>
      </c>
      <c r="D10" s="63">
        <v>179.39500000000001</v>
      </c>
      <c r="E10" s="43" t="s">
        <v>97</v>
      </c>
      <c r="F10" s="71">
        <v>180.72399999999999</v>
      </c>
      <c r="G10" s="71"/>
      <c r="H10" s="71"/>
      <c r="I10" s="71"/>
      <c r="J10" s="71"/>
      <c r="K10" s="71"/>
      <c r="L10" s="71"/>
      <c r="M10" s="82"/>
      <c r="N10" s="71"/>
      <c r="O10" s="82"/>
      <c r="P10" s="71"/>
      <c r="Q10" s="60">
        <v>179.63900000000001</v>
      </c>
      <c r="R10" s="60">
        <v>179.66</v>
      </c>
      <c r="S10" s="60">
        <v>179.63300000000001</v>
      </c>
      <c r="T10" s="60">
        <v>179.50700000000001</v>
      </c>
      <c r="U10" s="60">
        <v>179.43100000000001</v>
      </c>
      <c r="V10" s="71">
        <v>179.43100000000001</v>
      </c>
      <c r="W10" s="71">
        <f t="shared" si="0"/>
        <v>179.39500000000001</v>
      </c>
      <c r="X10" s="71"/>
      <c r="Y10" s="71"/>
      <c r="Z10" s="79"/>
      <c r="AA10" s="79"/>
      <c r="AB10" s="79"/>
      <c r="AC10" s="62" t="s">
        <v>100</v>
      </c>
      <c r="AD10" s="62">
        <f t="shared" si="2"/>
        <v>-0.15299999999999159</v>
      </c>
      <c r="AE10" s="62">
        <f t="shared" si="3"/>
        <v>-7.5999999999993406E-2</v>
      </c>
      <c r="AF10" s="81">
        <f t="shared" si="9"/>
        <v>-3.6000000000001364E-2</v>
      </c>
      <c r="AG10" s="79">
        <f>(W10-F10)/9</f>
        <v>-0.14766666666666436</v>
      </c>
      <c r="AH10" s="80"/>
      <c r="AI10" s="79"/>
      <c r="AJ10" s="79"/>
      <c r="AK10" s="79"/>
      <c r="AL10" s="62"/>
      <c r="AM10" s="62">
        <f t="shared" si="4"/>
        <v>-6.0000000000002274E-3</v>
      </c>
      <c r="AN10" s="62">
        <f t="shared" si="5"/>
        <v>-0.20199999999999818</v>
      </c>
      <c r="AO10" s="70"/>
      <c r="AP10" s="62">
        <f t="shared" si="7"/>
        <v>0</v>
      </c>
      <c r="AQ10" s="62">
        <f t="shared" si="8"/>
        <v>-3.6000000000001364E-2</v>
      </c>
    </row>
    <row r="11" spans="1:44" x14ac:dyDescent="0.25">
      <c r="A11" s="41">
        <v>108</v>
      </c>
      <c r="B11" s="60">
        <v>2342536.7370000002</v>
      </c>
      <c r="C11" s="60">
        <v>6022775.7209999999</v>
      </c>
      <c r="D11" s="63">
        <v>78.405000000000001</v>
      </c>
      <c r="E11" s="43" t="s">
        <v>2</v>
      </c>
      <c r="F11" s="27">
        <v>79.126000000000005</v>
      </c>
      <c r="G11" s="27"/>
      <c r="H11" s="27"/>
      <c r="I11" s="27"/>
      <c r="J11" s="27">
        <v>78.941999999999993</v>
      </c>
      <c r="K11" s="27">
        <v>79.093000000000004</v>
      </c>
      <c r="L11" s="27">
        <v>78.95</v>
      </c>
      <c r="M11" s="51">
        <v>78.831999999999994</v>
      </c>
      <c r="N11" s="49">
        <v>78.739999999999995</v>
      </c>
      <c r="O11" s="60">
        <v>78.641000000000005</v>
      </c>
      <c r="P11" s="60">
        <v>78.649000000000001</v>
      </c>
      <c r="Q11" s="60">
        <v>78.638000000000005</v>
      </c>
      <c r="R11" s="60">
        <v>78.650000000000006</v>
      </c>
      <c r="S11" s="60">
        <v>78.450999999999993</v>
      </c>
      <c r="T11" s="60">
        <v>78.549000000000007</v>
      </c>
      <c r="U11" s="60">
        <v>78.614000000000004</v>
      </c>
      <c r="V11" s="71">
        <v>78.558999999999997</v>
      </c>
      <c r="W11" s="71">
        <f t="shared" si="0"/>
        <v>78.405000000000001</v>
      </c>
      <c r="X11" s="27"/>
      <c r="Y11" s="27"/>
      <c r="Z11" s="29">
        <f t="shared" ref="Z11:Z24" si="10">L11-J11</f>
        <v>8.0000000000097771E-3</v>
      </c>
      <c r="AA11" s="50">
        <f t="shared" ref="AA11:AA24" si="11">N11-L11</f>
        <v>-0.21000000000000796</v>
      </c>
      <c r="AB11" s="62">
        <f t="shared" ref="AB11:AB24" si="12">P11-N11</f>
        <v>-9.0999999999993975E-2</v>
      </c>
      <c r="AC11" s="62">
        <f t="shared" ref="AC11:AC24" si="13">R11-P11</f>
        <v>1.0000000000047748E-3</v>
      </c>
      <c r="AD11" s="62">
        <f t="shared" si="2"/>
        <v>-0.10099999999999909</v>
      </c>
      <c r="AE11" s="62">
        <f t="shared" si="3"/>
        <v>9.9999999999909051E-3</v>
      </c>
      <c r="AF11" s="81">
        <f t="shared" si="9"/>
        <v>-0.15399999999999636</v>
      </c>
      <c r="AG11" s="79">
        <f>(W11-F11)/9</f>
        <v>-8.0111111111111521E-2</v>
      </c>
      <c r="AH11" s="45"/>
      <c r="AI11" s="28"/>
      <c r="AJ11" s="29">
        <f t="shared" ref="AJ11:AJ24" si="14">M11-K11</f>
        <v>-0.26100000000000989</v>
      </c>
      <c r="AK11" s="62">
        <f t="shared" ref="AK11:AK24" si="15">O11-M11</f>
        <v>-0.19099999999998829</v>
      </c>
      <c r="AL11" s="62">
        <f t="shared" ref="AL11:AL24" si="16">Q11-O11</f>
        <v>-3.0000000000001137E-3</v>
      </c>
      <c r="AM11" s="62">
        <f t="shared" si="4"/>
        <v>-0.18700000000001182</v>
      </c>
      <c r="AN11" s="62">
        <f t="shared" si="5"/>
        <v>0.16300000000001091</v>
      </c>
      <c r="AO11" s="61">
        <f>(U11-K11)/5</f>
        <v>-9.5799999999999844E-2</v>
      </c>
      <c r="AP11" s="62">
        <f t="shared" si="7"/>
        <v>-5.5000000000006821E-2</v>
      </c>
      <c r="AQ11" s="62">
        <f t="shared" si="8"/>
        <v>-0.20900000000000318</v>
      </c>
      <c r="AR11"/>
    </row>
    <row r="12" spans="1:44" x14ac:dyDescent="0.25">
      <c r="A12" s="3">
        <v>119</v>
      </c>
      <c r="B12" s="60">
        <v>2420921.6039999998</v>
      </c>
      <c r="C12" s="60">
        <v>6035543.1349999998</v>
      </c>
      <c r="D12" s="60">
        <v>110.938</v>
      </c>
      <c r="E12" s="4">
        <v>109.28</v>
      </c>
      <c r="F12" s="27">
        <v>111.229</v>
      </c>
      <c r="G12" s="27">
        <v>111.089</v>
      </c>
      <c r="H12" s="27">
        <v>111.136</v>
      </c>
      <c r="I12" s="27">
        <v>111.008</v>
      </c>
      <c r="J12" s="27">
        <v>110.94</v>
      </c>
      <c r="K12" s="27">
        <v>111.16800000000001</v>
      </c>
      <c r="L12" s="27">
        <v>111.16</v>
      </c>
      <c r="M12" s="51">
        <v>111.098</v>
      </c>
      <c r="N12" s="49">
        <v>111.057</v>
      </c>
      <c r="O12" s="64">
        <v>110.96</v>
      </c>
      <c r="P12" s="60">
        <v>111.059</v>
      </c>
      <c r="Q12" s="60">
        <v>111.03100000000001</v>
      </c>
      <c r="R12" s="60">
        <v>111.05</v>
      </c>
      <c r="S12" s="60">
        <v>110.872</v>
      </c>
      <c r="T12" s="60">
        <v>110.9</v>
      </c>
      <c r="U12" s="60">
        <v>110.85299999999999</v>
      </c>
      <c r="V12" s="71">
        <v>111.062</v>
      </c>
      <c r="W12" s="71">
        <f t="shared" si="0"/>
        <v>110.938</v>
      </c>
      <c r="X12" s="27">
        <f>H12-F12</f>
        <v>-9.3000000000003524E-2</v>
      </c>
      <c r="Y12" s="27">
        <f>J12-H12</f>
        <v>-0.19599999999999795</v>
      </c>
      <c r="Z12" s="29">
        <f t="shared" si="10"/>
        <v>0.21999999999999886</v>
      </c>
      <c r="AA12" s="50">
        <f t="shared" si="11"/>
        <v>-0.10299999999999443</v>
      </c>
      <c r="AB12" s="62">
        <f t="shared" si="12"/>
        <v>1.9999999999953388E-3</v>
      </c>
      <c r="AC12" s="62">
        <f t="shared" si="13"/>
        <v>-9.0000000000003411E-3</v>
      </c>
      <c r="AD12" s="62">
        <f t="shared" si="2"/>
        <v>-0.14999999999999147</v>
      </c>
      <c r="AE12" s="62">
        <f t="shared" si="3"/>
        <v>0.16199999999999193</v>
      </c>
      <c r="AF12" s="71">
        <f t="shared" si="9"/>
        <v>-0.12399999999999523</v>
      </c>
      <c r="AG12" s="79">
        <f t="shared" ref="AG12:AG24" si="17">(W12-F12)/9</f>
        <v>-3.2333333333332978E-2</v>
      </c>
      <c r="AH12" s="45">
        <f>I12-G12</f>
        <v>-8.100000000000307E-2</v>
      </c>
      <c r="AI12" s="29">
        <f>K12-I12</f>
        <v>0.1600000000000108</v>
      </c>
      <c r="AJ12" s="29">
        <f t="shared" si="14"/>
        <v>-7.000000000000739E-2</v>
      </c>
      <c r="AK12" s="62">
        <f t="shared" si="15"/>
        <v>-0.13800000000000523</v>
      </c>
      <c r="AL12" s="62">
        <f t="shared" si="16"/>
        <v>7.1000000000012164E-2</v>
      </c>
      <c r="AM12" s="62">
        <f t="shared" si="4"/>
        <v>-0.15900000000000603</v>
      </c>
      <c r="AN12" s="62">
        <f t="shared" si="5"/>
        <v>-1.9000000000005457E-2</v>
      </c>
      <c r="AO12" s="62">
        <f>(U12-$G12)/7</f>
        <v>-3.3714285714286314E-2</v>
      </c>
      <c r="AP12" s="30">
        <f t="shared" si="7"/>
        <v>0.20900000000000318</v>
      </c>
      <c r="AQ12" s="30">
        <f t="shared" si="8"/>
        <v>8.5000000000007958E-2</v>
      </c>
      <c r="AR12"/>
    </row>
    <row r="13" spans="1:44" x14ac:dyDescent="0.25">
      <c r="A13" s="3">
        <v>120</v>
      </c>
      <c r="B13" s="60">
        <v>2246626.0920000002</v>
      </c>
      <c r="C13" s="60">
        <v>6356803.7220000001</v>
      </c>
      <c r="D13" s="60">
        <v>606.74900000000002</v>
      </c>
      <c r="E13" s="4">
        <v>604.16399999999999</v>
      </c>
      <c r="F13" s="27">
        <v>606.82899999999995</v>
      </c>
      <c r="G13" s="27"/>
      <c r="H13" s="27"/>
      <c r="I13" s="27"/>
      <c r="J13" s="27">
        <v>606.55999999999995</v>
      </c>
      <c r="K13" s="27">
        <v>606.74099999999999</v>
      </c>
      <c r="L13" s="27">
        <v>606.58000000000004</v>
      </c>
      <c r="M13" s="51">
        <v>606.94100000000003</v>
      </c>
      <c r="N13" s="49">
        <v>606.78099999999995</v>
      </c>
      <c r="O13" s="60">
        <v>606.80200000000002</v>
      </c>
      <c r="P13" s="60">
        <v>606.73699999999997</v>
      </c>
      <c r="Q13" s="60">
        <v>606.78899999999999</v>
      </c>
      <c r="R13" s="60">
        <v>606.76</v>
      </c>
      <c r="S13" s="60">
        <v>606.89599999999996</v>
      </c>
      <c r="T13" s="60">
        <v>606.61599999999999</v>
      </c>
      <c r="U13" s="60">
        <v>606.73299999999995</v>
      </c>
      <c r="V13" s="71">
        <v>606.67499999999995</v>
      </c>
      <c r="W13" s="71">
        <f t="shared" si="0"/>
        <v>606.74900000000002</v>
      </c>
      <c r="X13" s="27"/>
      <c r="Y13" s="27"/>
      <c r="Z13" s="29">
        <f t="shared" si="10"/>
        <v>2.0000000000095497E-2</v>
      </c>
      <c r="AA13" s="50">
        <f t="shared" si="11"/>
        <v>0.20099999999990814</v>
      </c>
      <c r="AB13" s="62">
        <f t="shared" si="12"/>
        <v>-4.399999999998272E-2</v>
      </c>
      <c r="AC13" s="62">
        <f t="shared" si="13"/>
        <v>2.3000000000024556E-2</v>
      </c>
      <c r="AD13" s="62">
        <f t="shared" si="2"/>
        <v>-0.14400000000000546</v>
      </c>
      <c r="AE13" s="62">
        <f t="shared" si="3"/>
        <v>5.8999999999969077E-2</v>
      </c>
      <c r="AF13" s="81">
        <f t="shared" si="9"/>
        <v>7.4000000000069122E-2</v>
      </c>
      <c r="AG13" s="79">
        <f t="shared" si="17"/>
        <v>-8.8888888888808051E-3</v>
      </c>
      <c r="AH13" s="45"/>
      <c r="AI13" s="28"/>
      <c r="AJ13" s="29">
        <f t="shared" si="14"/>
        <v>0.20000000000004547</v>
      </c>
      <c r="AK13" s="62">
        <f t="shared" si="15"/>
        <v>-0.13900000000001</v>
      </c>
      <c r="AL13" s="62">
        <f t="shared" si="16"/>
        <v>-1.3000000000033651E-2</v>
      </c>
      <c r="AM13" s="62">
        <f t="shared" si="4"/>
        <v>0.1069999999999709</v>
      </c>
      <c r="AN13" s="62">
        <f t="shared" si="5"/>
        <v>-0.16300000000001091</v>
      </c>
      <c r="AO13" s="61">
        <f>(U13-K13)/5</f>
        <v>-1.6000000000076398E-3</v>
      </c>
      <c r="AP13" s="62">
        <f t="shared" si="7"/>
        <v>-5.7999999999992724E-2</v>
      </c>
      <c r="AQ13" s="62">
        <f t="shared" si="8"/>
        <v>1.6000000000076398E-2</v>
      </c>
      <c r="AR13"/>
    </row>
    <row r="14" spans="1:44" x14ac:dyDescent="0.25">
      <c r="A14" s="3">
        <v>121</v>
      </c>
      <c r="B14" s="60">
        <v>2244410.2340000002</v>
      </c>
      <c r="C14" s="60">
        <v>6123306.2089999998</v>
      </c>
      <c r="D14" s="60">
        <v>127.131</v>
      </c>
      <c r="E14" s="4" t="s">
        <v>3</v>
      </c>
      <c r="F14" s="27">
        <v>129.83199999999999</v>
      </c>
      <c r="G14" s="27">
        <v>129.59200000000001</v>
      </c>
      <c r="H14" s="27">
        <v>129.45099999999999</v>
      </c>
      <c r="I14" s="27">
        <v>129.18199999999999</v>
      </c>
      <c r="J14" s="27">
        <v>128.85</v>
      </c>
      <c r="K14" s="27">
        <v>128.72800000000001</v>
      </c>
      <c r="L14" s="27">
        <v>128.69800000000001</v>
      </c>
      <c r="M14" s="51">
        <v>128.434</v>
      </c>
      <c r="N14" s="49">
        <v>128.18299999999999</v>
      </c>
      <c r="O14" s="64">
        <v>128.09700000000001</v>
      </c>
      <c r="P14" s="60">
        <v>127.83199999999999</v>
      </c>
      <c r="Q14" s="60">
        <v>127.742</v>
      </c>
      <c r="R14" s="60">
        <v>127.69</v>
      </c>
      <c r="S14" s="60">
        <v>127.60899999999999</v>
      </c>
      <c r="T14" s="60">
        <v>127.44799999999999</v>
      </c>
      <c r="U14" s="60">
        <v>127.41500000000001</v>
      </c>
      <c r="V14" s="71">
        <v>127.327</v>
      </c>
      <c r="W14" s="71">
        <f t="shared" si="0"/>
        <v>127.131</v>
      </c>
      <c r="X14" s="27">
        <f t="shared" ref="X14:X24" si="18">H14-F14</f>
        <v>-0.38100000000000023</v>
      </c>
      <c r="Y14" s="27">
        <f t="shared" ref="Y14:Y24" si="19">J14-H14</f>
        <v>-0.60099999999999909</v>
      </c>
      <c r="Z14" s="29">
        <f t="shared" si="10"/>
        <v>-0.15199999999998681</v>
      </c>
      <c r="AA14" s="50">
        <f t="shared" si="11"/>
        <v>-0.51500000000001478</v>
      </c>
      <c r="AB14" s="62">
        <f t="shared" si="12"/>
        <v>-0.35099999999999909</v>
      </c>
      <c r="AC14" s="62">
        <f t="shared" si="13"/>
        <v>-0.14199999999999591</v>
      </c>
      <c r="AD14" s="62">
        <f t="shared" si="2"/>
        <v>-0.24200000000000443</v>
      </c>
      <c r="AE14" s="62">
        <f t="shared" si="3"/>
        <v>-0.12099999999999511</v>
      </c>
      <c r="AF14" s="71">
        <f t="shared" si="9"/>
        <v>-0.19599999999999795</v>
      </c>
      <c r="AG14" s="71">
        <f t="shared" si="17"/>
        <v>-0.30011111111111038</v>
      </c>
      <c r="AH14" s="45">
        <f t="shared" ref="AH14:AH24" si="20">I14-G14</f>
        <v>-0.41000000000002501</v>
      </c>
      <c r="AI14" s="29">
        <f t="shared" ref="AI14:AI24" si="21">K14-I14</f>
        <v>-0.45399999999997931</v>
      </c>
      <c r="AJ14" s="29">
        <f t="shared" si="14"/>
        <v>-0.29400000000001114</v>
      </c>
      <c r="AK14" s="62">
        <f t="shared" si="15"/>
        <v>-0.33699999999998909</v>
      </c>
      <c r="AL14" s="62">
        <f t="shared" si="16"/>
        <v>-0.35500000000000398</v>
      </c>
      <c r="AM14" s="62">
        <f t="shared" si="4"/>
        <v>-0.13300000000000978</v>
      </c>
      <c r="AN14" s="62">
        <f t="shared" si="5"/>
        <v>-0.1939999999999884</v>
      </c>
      <c r="AO14" s="62">
        <f t="shared" ref="AO14:AO52" si="22">(U14-$G14)/7</f>
        <v>-0.31100000000000094</v>
      </c>
      <c r="AP14" s="62">
        <f t="shared" si="7"/>
        <v>-8.8000000000008072E-2</v>
      </c>
      <c r="AQ14" s="62">
        <f t="shared" si="8"/>
        <v>-0.28400000000000603</v>
      </c>
      <c r="AR14"/>
    </row>
    <row r="15" spans="1:44" x14ac:dyDescent="0.25">
      <c r="A15" s="3">
        <v>122</v>
      </c>
      <c r="B15" s="60">
        <v>2166402.665</v>
      </c>
      <c r="C15" s="60">
        <v>6153888.6909999996</v>
      </c>
      <c r="D15" s="60">
        <v>167.23099999999999</v>
      </c>
      <c r="E15" s="6" t="s">
        <v>4</v>
      </c>
      <c r="F15" s="27">
        <v>168.126</v>
      </c>
      <c r="G15" s="27">
        <v>168.03</v>
      </c>
      <c r="H15" s="27">
        <v>168.06</v>
      </c>
      <c r="I15" s="27">
        <v>168.03</v>
      </c>
      <c r="J15" s="27">
        <v>167.744</v>
      </c>
      <c r="K15" s="27">
        <v>167.715</v>
      </c>
      <c r="L15" s="27">
        <v>167.78899999999999</v>
      </c>
      <c r="M15" s="51">
        <v>167.679</v>
      </c>
      <c r="N15" s="49">
        <v>167.49299999999999</v>
      </c>
      <c r="O15" s="60">
        <v>167.59800000000001</v>
      </c>
      <c r="P15" s="60">
        <v>167.32</v>
      </c>
      <c r="Q15" s="60">
        <v>167.423</v>
      </c>
      <c r="R15" s="60">
        <v>167.44</v>
      </c>
      <c r="S15" s="60">
        <v>167.50800000000001</v>
      </c>
      <c r="T15" s="60">
        <v>167.351</v>
      </c>
      <c r="U15" s="60">
        <v>167.4</v>
      </c>
      <c r="V15" s="71">
        <v>167.322</v>
      </c>
      <c r="W15" s="71">
        <f t="shared" si="0"/>
        <v>167.23099999999999</v>
      </c>
      <c r="X15" s="27">
        <f t="shared" si="18"/>
        <v>-6.6000000000002501E-2</v>
      </c>
      <c r="Y15" s="27">
        <f t="shared" si="19"/>
        <v>-0.3160000000000025</v>
      </c>
      <c r="Z15" s="29">
        <f t="shared" si="10"/>
        <v>4.4999999999987494E-2</v>
      </c>
      <c r="AA15" s="50">
        <f t="shared" si="11"/>
        <v>-0.29599999999999227</v>
      </c>
      <c r="AB15" s="62">
        <f t="shared" si="12"/>
        <v>-0.17300000000000182</v>
      </c>
      <c r="AC15" s="62">
        <f t="shared" si="13"/>
        <v>0.12000000000000455</v>
      </c>
      <c r="AD15" s="62">
        <f t="shared" si="2"/>
        <v>-8.8999999999998636E-2</v>
      </c>
      <c r="AE15" s="62">
        <f t="shared" si="3"/>
        <v>-2.8999999999996362E-2</v>
      </c>
      <c r="AF15" s="71">
        <f t="shared" si="9"/>
        <v>-9.1000000000008185E-2</v>
      </c>
      <c r="AG15" s="71">
        <f t="shared" si="17"/>
        <v>-9.9444444444445584E-2</v>
      </c>
      <c r="AH15" s="45">
        <f t="shared" si="20"/>
        <v>0</v>
      </c>
      <c r="AI15" s="29">
        <f t="shared" si="21"/>
        <v>-0.31499999999999773</v>
      </c>
      <c r="AJ15" s="29">
        <f t="shared" si="14"/>
        <v>-3.6000000000001364E-2</v>
      </c>
      <c r="AK15" s="62">
        <f t="shared" si="15"/>
        <v>-8.0999999999988859E-2</v>
      </c>
      <c r="AL15" s="62">
        <f t="shared" si="16"/>
        <v>-0.17500000000001137</v>
      </c>
      <c r="AM15" s="62">
        <f t="shared" si="4"/>
        <v>8.5000000000007958E-2</v>
      </c>
      <c r="AN15" s="62">
        <f t="shared" si="5"/>
        <v>-0.10800000000000409</v>
      </c>
      <c r="AO15" s="62">
        <f t="shared" si="22"/>
        <v>-8.9999999999999344E-2</v>
      </c>
      <c r="AP15" s="62">
        <f t="shared" si="7"/>
        <v>-7.8000000000002956E-2</v>
      </c>
      <c r="AQ15" s="62">
        <f t="shared" si="8"/>
        <v>-0.16900000000001114</v>
      </c>
      <c r="AR15"/>
    </row>
    <row r="16" spans="1:44" x14ac:dyDescent="0.25">
      <c r="A16" s="3">
        <v>123</v>
      </c>
      <c r="B16" s="60">
        <v>2232691.2680000002</v>
      </c>
      <c r="C16" s="60">
        <v>6167201.6150000002</v>
      </c>
      <c r="D16" s="60">
        <v>158.23400000000001</v>
      </c>
      <c r="E16" s="6" t="s">
        <v>5</v>
      </c>
      <c r="F16" s="27">
        <v>162.755</v>
      </c>
      <c r="G16" s="27">
        <v>162.523</v>
      </c>
      <c r="H16" s="27">
        <v>162.411</v>
      </c>
      <c r="I16" s="27">
        <v>162.28</v>
      </c>
      <c r="J16" s="27">
        <v>161.75899999999999</v>
      </c>
      <c r="K16" s="27">
        <v>161.65700000000001</v>
      </c>
      <c r="L16" s="27">
        <v>161.57599999999999</v>
      </c>
      <c r="M16" s="51">
        <v>161.245</v>
      </c>
      <c r="N16" s="49">
        <v>160.91</v>
      </c>
      <c r="O16" s="64">
        <v>160.63999999999999</v>
      </c>
      <c r="P16" s="60">
        <v>160.29300000000001</v>
      </c>
      <c r="Q16" s="60">
        <v>159.96299999999999</v>
      </c>
      <c r="R16" s="60">
        <v>159.78</v>
      </c>
      <c r="S16" s="60">
        <v>159.40799999999999</v>
      </c>
      <c r="T16" s="60">
        <v>159.12100000000001</v>
      </c>
      <c r="U16" s="60">
        <v>158.87</v>
      </c>
      <c r="V16" s="71">
        <v>158.61500000000001</v>
      </c>
      <c r="W16" s="71">
        <f t="shared" si="0"/>
        <v>158.23400000000001</v>
      </c>
      <c r="X16" s="27">
        <f t="shared" si="18"/>
        <v>-0.34399999999999409</v>
      </c>
      <c r="Y16" s="27">
        <f t="shared" si="19"/>
        <v>-0.65200000000001523</v>
      </c>
      <c r="Z16" s="29">
        <f t="shared" si="10"/>
        <v>-0.18299999999999272</v>
      </c>
      <c r="AA16" s="50">
        <f t="shared" si="11"/>
        <v>-0.66599999999999682</v>
      </c>
      <c r="AB16" s="62">
        <f t="shared" si="12"/>
        <v>-0.61699999999999022</v>
      </c>
      <c r="AC16" s="62">
        <f t="shared" si="13"/>
        <v>-0.51300000000000523</v>
      </c>
      <c r="AD16" s="62">
        <f t="shared" si="2"/>
        <v>-0.65899999999999181</v>
      </c>
      <c r="AE16" s="62">
        <f t="shared" si="3"/>
        <v>-0.50600000000000023</v>
      </c>
      <c r="AF16" s="71">
        <f t="shared" si="9"/>
        <v>-0.38100000000000023</v>
      </c>
      <c r="AG16" s="71">
        <f t="shared" si="17"/>
        <v>-0.50233333333333186</v>
      </c>
      <c r="AH16" s="45">
        <f t="shared" si="20"/>
        <v>-0.242999999999995</v>
      </c>
      <c r="AI16" s="29">
        <f t="shared" si="21"/>
        <v>-0.62299999999999045</v>
      </c>
      <c r="AJ16" s="29">
        <f t="shared" si="14"/>
        <v>-0.41200000000000614</v>
      </c>
      <c r="AK16" s="62">
        <f t="shared" si="15"/>
        <v>-0.60500000000001819</v>
      </c>
      <c r="AL16" s="62">
        <f t="shared" si="16"/>
        <v>-0.6769999999999925</v>
      </c>
      <c r="AM16" s="62">
        <f t="shared" si="4"/>
        <v>-0.55500000000000682</v>
      </c>
      <c r="AN16" s="62">
        <f t="shared" si="5"/>
        <v>-0.53799999999998249</v>
      </c>
      <c r="AO16" s="62">
        <f t="shared" si="22"/>
        <v>-0.52185714285714169</v>
      </c>
      <c r="AP16" s="62">
        <f t="shared" si="7"/>
        <v>-0.25499999999999545</v>
      </c>
      <c r="AQ16" s="62">
        <f t="shared" si="8"/>
        <v>-0.63599999999999568</v>
      </c>
      <c r="AR16"/>
    </row>
    <row r="17" spans="1:44" x14ac:dyDescent="0.25">
      <c r="A17" s="3">
        <v>124</v>
      </c>
      <c r="B17" s="60">
        <v>2280839.102</v>
      </c>
      <c r="C17" s="60">
        <v>6138903.2230000002</v>
      </c>
      <c r="D17" s="60">
        <v>145.82</v>
      </c>
      <c r="E17" s="6" t="s">
        <v>6</v>
      </c>
      <c r="F17" s="27">
        <v>149.62299999999999</v>
      </c>
      <c r="G17" s="27">
        <v>149.416</v>
      </c>
      <c r="H17" s="27">
        <v>149.36600000000001</v>
      </c>
      <c r="I17" s="27">
        <v>148.99</v>
      </c>
      <c r="J17" s="27">
        <v>148.584</v>
      </c>
      <c r="K17" s="27">
        <v>148.25700000000001</v>
      </c>
      <c r="L17" s="27">
        <v>148.131</v>
      </c>
      <c r="M17" s="51">
        <v>147.46299999999999</v>
      </c>
      <c r="N17" s="49">
        <v>147.202</v>
      </c>
      <c r="O17" s="60">
        <v>146.99</v>
      </c>
      <c r="P17" s="60">
        <v>146.756</v>
      </c>
      <c r="Q17" s="60">
        <v>146.61500000000001</v>
      </c>
      <c r="R17" s="60">
        <v>146.61000000000001</v>
      </c>
      <c r="S17" s="60">
        <v>146.32900000000001</v>
      </c>
      <c r="T17" s="60">
        <v>146.226</v>
      </c>
      <c r="U17" s="60">
        <v>146.06399999999999</v>
      </c>
      <c r="V17" s="71">
        <v>146.072</v>
      </c>
      <c r="W17" s="71">
        <f t="shared" si="0"/>
        <v>145.82</v>
      </c>
      <c r="X17" s="27">
        <f t="shared" si="18"/>
        <v>-0.25699999999997658</v>
      </c>
      <c r="Y17" s="27">
        <f t="shared" si="19"/>
        <v>-0.78200000000001069</v>
      </c>
      <c r="Z17" s="29">
        <f t="shared" si="10"/>
        <v>-0.45300000000000296</v>
      </c>
      <c r="AA17" s="50">
        <f t="shared" si="11"/>
        <v>-0.92900000000000205</v>
      </c>
      <c r="AB17" s="62">
        <f t="shared" si="12"/>
        <v>-0.44599999999999795</v>
      </c>
      <c r="AC17" s="62">
        <f t="shared" si="13"/>
        <v>-0.14599999999998658</v>
      </c>
      <c r="AD17" s="62">
        <f t="shared" si="2"/>
        <v>-0.38400000000001455</v>
      </c>
      <c r="AE17" s="62">
        <f t="shared" si="3"/>
        <v>-0.15399999999999636</v>
      </c>
      <c r="AF17" s="71">
        <f t="shared" si="9"/>
        <v>-0.25200000000000955</v>
      </c>
      <c r="AG17" s="71">
        <f t="shared" si="17"/>
        <v>-0.42255555555555524</v>
      </c>
      <c r="AH17" s="45">
        <f t="shared" si="20"/>
        <v>-0.42599999999998772</v>
      </c>
      <c r="AI17" s="29">
        <f t="shared" si="21"/>
        <v>-0.73300000000000409</v>
      </c>
      <c r="AJ17" s="29">
        <f t="shared" si="14"/>
        <v>-0.79400000000001114</v>
      </c>
      <c r="AK17" s="62">
        <f t="shared" si="15"/>
        <v>-0.47299999999998477</v>
      </c>
      <c r="AL17" s="62">
        <f t="shared" si="16"/>
        <v>-0.375</v>
      </c>
      <c r="AM17" s="62">
        <f t="shared" si="4"/>
        <v>-0.28600000000000136</v>
      </c>
      <c r="AN17" s="62">
        <f t="shared" si="5"/>
        <v>-0.26500000000001478</v>
      </c>
      <c r="AO17" s="62">
        <f t="shared" si="22"/>
        <v>-0.47885714285714343</v>
      </c>
      <c r="AP17" s="62">
        <f t="shared" si="7"/>
        <v>8.0000000000097771E-3</v>
      </c>
      <c r="AQ17" s="62">
        <f t="shared" si="8"/>
        <v>-0.24399999999999977</v>
      </c>
      <c r="AR17"/>
    </row>
    <row r="18" spans="1:44" x14ac:dyDescent="0.25">
      <c r="A18" s="77">
        <v>125</v>
      </c>
      <c r="B18" s="120" t="s">
        <v>104</v>
      </c>
      <c r="C18" s="120"/>
      <c r="D18" s="120"/>
      <c r="E18" s="84" t="s">
        <v>7</v>
      </c>
      <c r="F18" s="27">
        <v>184.28700000000001</v>
      </c>
      <c r="G18" s="27">
        <v>184.16200000000001</v>
      </c>
      <c r="H18" s="27">
        <v>184.179</v>
      </c>
      <c r="I18" s="27">
        <v>184.15100000000001</v>
      </c>
      <c r="J18" s="27">
        <v>183.87200000000001</v>
      </c>
      <c r="K18" s="27">
        <v>183.87100000000001</v>
      </c>
      <c r="L18" s="27">
        <v>183.95</v>
      </c>
      <c r="M18" s="51">
        <v>183.84399999999999</v>
      </c>
      <c r="N18" s="49">
        <v>183.68600000000001</v>
      </c>
      <c r="O18" s="64">
        <v>183.798</v>
      </c>
      <c r="P18" s="60">
        <v>183.52199999999999</v>
      </c>
      <c r="Q18" s="60">
        <v>183.58699999999999</v>
      </c>
      <c r="R18" s="60">
        <v>183.56</v>
      </c>
      <c r="S18" s="60">
        <v>183.52799999999999</v>
      </c>
      <c r="T18" s="60">
        <v>183.393</v>
      </c>
      <c r="U18" s="60">
        <v>183.392</v>
      </c>
      <c r="V18" s="113"/>
      <c r="W18" s="113"/>
      <c r="X18" s="27">
        <f t="shared" si="18"/>
        <v>-0.10800000000000409</v>
      </c>
      <c r="Y18" s="27">
        <f t="shared" si="19"/>
        <v>-0.30699999999998795</v>
      </c>
      <c r="Z18" s="29">
        <f t="shared" si="10"/>
        <v>7.7999999999974534E-2</v>
      </c>
      <c r="AA18" s="50">
        <f t="shared" si="11"/>
        <v>-0.26399999999998158</v>
      </c>
      <c r="AB18" s="62">
        <f t="shared" si="12"/>
        <v>-0.16400000000001569</v>
      </c>
      <c r="AC18" s="62">
        <f t="shared" si="13"/>
        <v>3.8000000000010914E-2</v>
      </c>
      <c r="AD18" s="62">
        <f t="shared" si="2"/>
        <v>-0.16700000000000159</v>
      </c>
      <c r="AE18" s="117"/>
      <c r="AF18" s="113"/>
      <c r="AG18" s="114"/>
      <c r="AH18" s="45">
        <f t="shared" si="20"/>
        <v>-1.099999999999568E-2</v>
      </c>
      <c r="AI18" s="29">
        <f t="shared" si="21"/>
        <v>-0.28000000000000114</v>
      </c>
      <c r="AJ18" s="29">
        <f t="shared" si="14"/>
        <v>-2.7000000000015234E-2</v>
      </c>
      <c r="AK18" s="62">
        <f t="shared" si="15"/>
        <v>-4.5999999999992269E-2</v>
      </c>
      <c r="AL18" s="62">
        <f t="shared" si="16"/>
        <v>-0.21100000000001273</v>
      </c>
      <c r="AM18" s="62">
        <f t="shared" si="4"/>
        <v>-5.8999999999997499E-2</v>
      </c>
      <c r="AN18" s="62">
        <f t="shared" si="5"/>
        <v>-0.13599999999999568</v>
      </c>
      <c r="AO18" s="62">
        <f t="shared" si="22"/>
        <v>-0.11000000000000146</v>
      </c>
      <c r="AP18" s="117"/>
      <c r="AQ18" s="117"/>
      <c r="AR18"/>
    </row>
    <row r="19" spans="1:44" x14ac:dyDescent="0.25">
      <c r="A19" s="3">
        <v>126</v>
      </c>
      <c r="B19" s="60">
        <v>2355392.8939999999</v>
      </c>
      <c r="C19" s="60">
        <v>6132094.6270000003</v>
      </c>
      <c r="D19" s="60">
        <v>167.15899999999999</v>
      </c>
      <c r="E19" s="6" t="s">
        <v>61</v>
      </c>
      <c r="F19" s="27">
        <v>167.392</v>
      </c>
      <c r="G19" s="27">
        <v>167.34299999999999</v>
      </c>
      <c r="H19" s="27">
        <v>167.328</v>
      </c>
      <c r="I19" s="27">
        <v>167.33799999999999</v>
      </c>
      <c r="J19" s="27">
        <v>167.14699999999999</v>
      </c>
      <c r="K19" s="27">
        <v>167.321</v>
      </c>
      <c r="L19" s="27">
        <v>167.37700000000001</v>
      </c>
      <c r="M19" s="51">
        <v>167.31200000000001</v>
      </c>
      <c r="N19" s="49">
        <v>167.21</v>
      </c>
      <c r="O19" s="60">
        <v>167.28299999999999</v>
      </c>
      <c r="P19" s="60">
        <v>167.208</v>
      </c>
      <c r="Q19" s="60">
        <v>167.21700000000001</v>
      </c>
      <c r="R19" s="60">
        <v>167.21</v>
      </c>
      <c r="S19" s="60">
        <v>167.19900000000001</v>
      </c>
      <c r="T19" s="60">
        <v>167.11699999999999</v>
      </c>
      <c r="U19" s="60">
        <v>167.125</v>
      </c>
      <c r="V19" s="71">
        <v>167.12899999999999</v>
      </c>
      <c r="W19" s="71">
        <f t="shared" si="0"/>
        <v>167.15899999999999</v>
      </c>
      <c r="X19" s="27">
        <f t="shared" si="18"/>
        <v>-6.3999999999992951E-2</v>
      </c>
      <c r="Y19" s="27">
        <f t="shared" si="19"/>
        <v>-0.1810000000000116</v>
      </c>
      <c r="Z19" s="29">
        <f t="shared" si="10"/>
        <v>0.23000000000001819</v>
      </c>
      <c r="AA19" s="50">
        <f t="shared" si="11"/>
        <v>-0.16700000000000159</v>
      </c>
      <c r="AB19" s="62">
        <f t="shared" si="12"/>
        <v>-2.0000000000095497E-3</v>
      </c>
      <c r="AC19" s="62">
        <f t="shared" si="13"/>
        <v>2.0000000000095497E-3</v>
      </c>
      <c r="AD19" s="62">
        <f t="shared" si="2"/>
        <v>-9.3000000000017735E-2</v>
      </c>
      <c r="AE19" s="62">
        <f t="shared" si="3"/>
        <v>1.2000000000000455E-2</v>
      </c>
      <c r="AF19" s="71">
        <f t="shared" si="9"/>
        <v>3.0000000000001137E-2</v>
      </c>
      <c r="AG19" s="71">
        <f t="shared" si="17"/>
        <v>-2.5888888888889343E-2</v>
      </c>
      <c r="AH19" s="45">
        <f t="shared" si="20"/>
        <v>-4.9999999999954525E-3</v>
      </c>
      <c r="AI19" s="29">
        <f t="shared" si="21"/>
        <v>-1.6999999999995907E-2</v>
      </c>
      <c r="AJ19" s="29">
        <f t="shared" si="14"/>
        <v>-8.9999999999861302E-3</v>
      </c>
      <c r="AK19" s="62">
        <f t="shared" si="15"/>
        <v>-2.9000000000024784E-2</v>
      </c>
      <c r="AL19" s="62">
        <f t="shared" si="16"/>
        <v>-6.5999999999974079E-2</v>
      </c>
      <c r="AM19" s="62">
        <f t="shared" si="4"/>
        <v>-1.8000000000000682E-2</v>
      </c>
      <c r="AN19" s="62">
        <f t="shared" si="5"/>
        <v>-7.4000000000012278E-2</v>
      </c>
      <c r="AO19" s="62">
        <f t="shared" si="22"/>
        <v>-3.1142857142855616E-2</v>
      </c>
      <c r="AP19" s="62">
        <f t="shared" si="7"/>
        <v>3.9999999999906777E-3</v>
      </c>
      <c r="AQ19" s="62">
        <f t="shared" si="8"/>
        <v>3.3999999999991815E-2</v>
      </c>
      <c r="AR19"/>
    </row>
    <row r="20" spans="1:44" x14ac:dyDescent="0.25">
      <c r="A20" s="3">
        <v>127</v>
      </c>
      <c r="B20" s="60">
        <v>2195250.7599999998</v>
      </c>
      <c r="C20" s="60">
        <v>6199772.7939999998</v>
      </c>
      <c r="D20" s="60">
        <v>181.56100000000001</v>
      </c>
      <c r="E20" s="6" t="s">
        <v>8</v>
      </c>
      <c r="F20" s="27">
        <v>183.001</v>
      </c>
      <c r="G20" s="27">
        <v>183.05600000000001</v>
      </c>
      <c r="H20" s="27">
        <v>182.88900000000001</v>
      </c>
      <c r="I20" s="27">
        <v>182.91300000000001</v>
      </c>
      <c r="J20" s="27">
        <v>182.554</v>
      </c>
      <c r="K20" s="27">
        <v>182.53</v>
      </c>
      <c r="L20" s="27">
        <v>182.57599999999999</v>
      </c>
      <c r="M20" s="51">
        <v>182.566</v>
      </c>
      <c r="N20" s="49">
        <v>182.357</v>
      </c>
      <c r="O20" s="64">
        <v>182.34100000000001</v>
      </c>
      <c r="P20" s="60">
        <v>182.14400000000001</v>
      </c>
      <c r="Q20" s="60">
        <v>182.024</v>
      </c>
      <c r="R20" s="60">
        <v>182.01</v>
      </c>
      <c r="S20" s="60">
        <v>181.97800000000001</v>
      </c>
      <c r="T20" s="60">
        <v>181.761</v>
      </c>
      <c r="U20" s="60">
        <v>181.78700000000001</v>
      </c>
      <c r="V20" s="71">
        <v>181.65199999999999</v>
      </c>
      <c r="W20" s="71">
        <f t="shared" si="0"/>
        <v>181.56100000000001</v>
      </c>
      <c r="X20" s="27">
        <f t="shared" si="18"/>
        <v>-0.11199999999999477</v>
      </c>
      <c r="Y20" s="27">
        <f t="shared" si="19"/>
        <v>-0.33500000000000796</v>
      </c>
      <c r="Z20" s="29">
        <f t="shared" si="10"/>
        <v>2.199999999999136E-2</v>
      </c>
      <c r="AA20" s="50">
        <f t="shared" si="11"/>
        <v>-0.21899999999999409</v>
      </c>
      <c r="AB20" s="62">
        <f t="shared" si="12"/>
        <v>-0.21299999999999386</v>
      </c>
      <c r="AC20" s="62">
        <f t="shared" si="13"/>
        <v>-0.13400000000001455</v>
      </c>
      <c r="AD20" s="62">
        <f t="shared" si="2"/>
        <v>-0.24899999999999523</v>
      </c>
      <c r="AE20" s="62">
        <f t="shared" si="3"/>
        <v>-0.10900000000000887</v>
      </c>
      <c r="AF20" s="71">
        <f t="shared" si="9"/>
        <v>-9.0999999999979764E-2</v>
      </c>
      <c r="AG20" s="71">
        <f t="shared" si="17"/>
        <v>-0.15999999999999975</v>
      </c>
      <c r="AH20" s="45">
        <f t="shared" si="20"/>
        <v>-0.14300000000000068</v>
      </c>
      <c r="AI20" s="29">
        <f t="shared" si="21"/>
        <v>-0.38300000000000978</v>
      </c>
      <c r="AJ20" s="29">
        <f t="shared" si="14"/>
        <v>3.6000000000001364E-2</v>
      </c>
      <c r="AK20" s="62">
        <f t="shared" si="15"/>
        <v>-0.22499999999999432</v>
      </c>
      <c r="AL20" s="62">
        <f t="shared" si="16"/>
        <v>-0.31700000000000728</v>
      </c>
      <c r="AM20" s="62">
        <f t="shared" si="4"/>
        <v>-4.5999999999992269E-2</v>
      </c>
      <c r="AN20" s="62">
        <f t="shared" si="5"/>
        <v>-0.1910000000000025</v>
      </c>
      <c r="AO20" s="62">
        <f t="shared" si="22"/>
        <v>-0.18128571428571508</v>
      </c>
      <c r="AP20" s="62">
        <f t="shared" si="7"/>
        <v>-0.13500000000001933</v>
      </c>
      <c r="AQ20" s="62">
        <f t="shared" si="8"/>
        <v>-0.22599999999999909</v>
      </c>
      <c r="AR20"/>
    </row>
    <row r="21" spans="1:44" x14ac:dyDescent="0.25">
      <c r="A21" s="70">
        <v>128</v>
      </c>
      <c r="B21" s="60">
        <v>2114491.875</v>
      </c>
      <c r="C21" s="60">
        <v>6074855.6979999999</v>
      </c>
      <c r="D21" s="60">
        <v>619.29200000000003</v>
      </c>
      <c r="E21" s="72" t="s">
        <v>9</v>
      </c>
      <c r="F21" s="27">
        <v>619.38699999999994</v>
      </c>
      <c r="G21" s="27">
        <v>619.31700000000001</v>
      </c>
      <c r="H21" s="27">
        <v>619.30499999999995</v>
      </c>
      <c r="I21" s="27">
        <v>619.39400000000001</v>
      </c>
      <c r="J21" s="27">
        <v>619.16999999999996</v>
      </c>
      <c r="K21" s="27">
        <v>619.25599999999997</v>
      </c>
      <c r="L21" s="27">
        <v>619.40200000000004</v>
      </c>
      <c r="M21" s="51">
        <v>619.37300000000005</v>
      </c>
      <c r="N21" s="49">
        <v>619.245</v>
      </c>
      <c r="O21" s="60">
        <v>619.476</v>
      </c>
      <c r="P21" s="71">
        <v>619.29499999999996</v>
      </c>
      <c r="Q21" s="60">
        <v>619.42200000000003</v>
      </c>
      <c r="R21" s="60">
        <v>619.29999999999995</v>
      </c>
      <c r="S21" s="60">
        <v>619.33199999999999</v>
      </c>
      <c r="T21" s="60">
        <v>619.32399999999996</v>
      </c>
      <c r="U21" s="60">
        <v>619.4</v>
      </c>
      <c r="V21" s="71">
        <v>619.42100000000005</v>
      </c>
      <c r="W21" s="71">
        <f t="shared" si="0"/>
        <v>619.29200000000003</v>
      </c>
      <c r="X21" s="27">
        <f t="shared" si="18"/>
        <v>-8.1999999999993634E-2</v>
      </c>
      <c r="Y21" s="27">
        <f t="shared" si="19"/>
        <v>-0.13499999999999091</v>
      </c>
      <c r="Z21" s="29">
        <f t="shared" si="10"/>
        <v>0.23200000000008458</v>
      </c>
      <c r="AA21" s="50">
        <f t="shared" si="11"/>
        <v>-0.15700000000003911</v>
      </c>
      <c r="AB21" s="62">
        <f t="shared" si="12"/>
        <v>4.9999999999954525E-2</v>
      </c>
      <c r="AC21" s="62">
        <f t="shared" si="13"/>
        <v>4.9999999999954525E-3</v>
      </c>
      <c r="AD21" s="62">
        <f t="shared" si="2"/>
        <v>2.4000000000000909E-2</v>
      </c>
      <c r="AE21" s="62">
        <f t="shared" si="3"/>
        <v>9.7000000000093678E-2</v>
      </c>
      <c r="AF21" s="71">
        <f t="shared" si="9"/>
        <v>-0.1290000000000191</v>
      </c>
      <c r="AG21" s="71">
        <f t="shared" si="17"/>
        <v>-1.0555555555545956E-2</v>
      </c>
      <c r="AH21" s="45">
        <f t="shared" si="20"/>
        <v>7.6999999999998181E-2</v>
      </c>
      <c r="AI21" s="29">
        <f t="shared" si="21"/>
        <v>-0.13800000000003365</v>
      </c>
      <c r="AJ21" s="29">
        <f t="shared" si="14"/>
        <v>0.11700000000007549</v>
      </c>
      <c r="AK21" s="62">
        <f t="shared" si="15"/>
        <v>0.1029999999999518</v>
      </c>
      <c r="AL21" s="62">
        <f t="shared" si="16"/>
        <v>-5.3999999999973625E-2</v>
      </c>
      <c r="AM21" s="62">
        <f t="shared" si="4"/>
        <v>-9.0000000000031832E-2</v>
      </c>
      <c r="AN21" s="62">
        <f t="shared" si="5"/>
        <v>6.7999999999983629E-2</v>
      </c>
      <c r="AO21" s="62">
        <f t="shared" si="22"/>
        <v>1.185714285713857E-2</v>
      </c>
      <c r="AP21" s="62">
        <f t="shared" si="7"/>
        <v>2.100000000007185E-2</v>
      </c>
      <c r="AQ21" s="62">
        <f t="shared" si="8"/>
        <v>-0.10799999999994725</v>
      </c>
      <c r="AR21"/>
    </row>
    <row r="22" spans="1:44" x14ac:dyDescent="0.25">
      <c r="A22" s="3">
        <v>129</v>
      </c>
      <c r="B22" s="60">
        <v>2198475.3840000001</v>
      </c>
      <c r="C22" s="60">
        <v>6133714.1449999996</v>
      </c>
      <c r="D22" s="60">
        <v>144.999</v>
      </c>
      <c r="E22" s="6" t="s">
        <v>10</v>
      </c>
      <c r="F22" s="27">
        <v>146.464</v>
      </c>
      <c r="G22" s="27">
        <v>146.37700000000001</v>
      </c>
      <c r="H22" s="27">
        <v>146.34299999999999</v>
      </c>
      <c r="I22" s="27">
        <v>146.31200000000001</v>
      </c>
      <c r="J22" s="27">
        <v>146.02699999999999</v>
      </c>
      <c r="K22" s="27">
        <v>145.982</v>
      </c>
      <c r="L22" s="27">
        <v>146.05199999999999</v>
      </c>
      <c r="M22" s="51">
        <v>145.89599999999999</v>
      </c>
      <c r="N22" s="49">
        <v>145.75</v>
      </c>
      <c r="O22" s="64">
        <v>145.70599999999999</v>
      </c>
      <c r="P22" s="60">
        <v>145.476</v>
      </c>
      <c r="Q22" s="60">
        <v>145.52000000000001</v>
      </c>
      <c r="R22" s="60">
        <v>145.47999999999999</v>
      </c>
      <c r="S22" s="60">
        <v>145.453</v>
      </c>
      <c r="T22" s="60">
        <v>145.309</v>
      </c>
      <c r="U22" s="60">
        <v>145.27600000000001</v>
      </c>
      <c r="V22" s="71">
        <v>145.19300000000001</v>
      </c>
      <c r="W22" s="71">
        <f t="shared" si="0"/>
        <v>144.999</v>
      </c>
      <c r="X22" s="27">
        <f t="shared" si="18"/>
        <v>-0.12100000000000932</v>
      </c>
      <c r="Y22" s="27">
        <f t="shared" si="19"/>
        <v>-0.3160000000000025</v>
      </c>
      <c r="Z22" s="29">
        <f t="shared" si="10"/>
        <v>2.5000000000005684E-2</v>
      </c>
      <c r="AA22" s="50">
        <f t="shared" si="11"/>
        <v>-0.3019999999999925</v>
      </c>
      <c r="AB22" s="62">
        <f t="shared" si="12"/>
        <v>-0.27400000000000091</v>
      </c>
      <c r="AC22" s="62">
        <f t="shared" si="13"/>
        <v>3.9999999999906777E-3</v>
      </c>
      <c r="AD22" s="62">
        <f t="shared" si="2"/>
        <v>-0.17099999999999227</v>
      </c>
      <c r="AE22" s="62">
        <f t="shared" si="3"/>
        <v>-0.11599999999998545</v>
      </c>
      <c r="AF22" s="71">
        <f t="shared" si="9"/>
        <v>-0.19400000000001683</v>
      </c>
      <c r="AG22" s="71">
        <f t="shared" si="17"/>
        <v>-0.16277777777777816</v>
      </c>
      <c r="AH22" s="45">
        <f t="shared" si="20"/>
        <v>-6.4999999999997726E-2</v>
      </c>
      <c r="AI22" s="29">
        <f t="shared" si="21"/>
        <v>-0.33000000000001251</v>
      </c>
      <c r="AJ22" s="29">
        <f t="shared" si="14"/>
        <v>-8.6000000000012733E-2</v>
      </c>
      <c r="AK22" s="62">
        <f t="shared" si="15"/>
        <v>-0.18999999999999773</v>
      </c>
      <c r="AL22" s="62">
        <f t="shared" si="16"/>
        <v>-0.18599999999997863</v>
      </c>
      <c r="AM22" s="62">
        <f t="shared" si="4"/>
        <v>-6.7000000000007276E-2</v>
      </c>
      <c r="AN22" s="62">
        <f t="shared" si="5"/>
        <v>-0.1769999999999925</v>
      </c>
      <c r="AO22" s="62">
        <f t="shared" si="22"/>
        <v>-0.15728571428571417</v>
      </c>
      <c r="AP22" s="62">
        <f t="shared" si="7"/>
        <v>-8.2999999999998408E-2</v>
      </c>
      <c r="AQ22" s="62">
        <f t="shared" si="8"/>
        <v>-0.27700000000001523</v>
      </c>
      <c r="AR22"/>
    </row>
    <row r="23" spans="1:44" x14ac:dyDescent="0.25">
      <c r="A23" s="3">
        <v>130</v>
      </c>
      <c r="B23" s="60">
        <v>2365903.8450000002</v>
      </c>
      <c r="C23" s="60">
        <v>6000988.7149999999</v>
      </c>
      <c r="D23" s="60">
        <v>73.058000000000007</v>
      </c>
      <c r="E23" s="6" t="s">
        <v>11</v>
      </c>
      <c r="F23" s="27">
        <v>73.272999999999996</v>
      </c>
      <c r="G23" s="27">
        <v>73.221000000000004</v>
      </c>
      <c r="H23" s="27">
        <v>73.236999999999995</v>
      </c>
      <c r="I23" s="27">
        <v>73.141999999999996</v>
      </c>
      <c r="J23" s="27">
        <v>73.058000000000007</v>
      </c>
      <c r="K23" s="27">
        <v>73.350999999999999</v>
      </c>
      <c r="L23" s="27">
        <v>73.265000000000001</v>
      </c>
      <c r="M23" s="51">
        <v>73.165000000000006</v>
      </c>
      <c r="N23" s="49">
        <v>73.120999999999995</v>
      </c>
      <c r="O23" s="60">
        <v>73.040999999999997</v>
      </c>
      <c r="P23" s="60">
        <v>73.165000000000006</v>
      </c>
      <c r="Q23" s="60">
        <v>73.216999999999999</v>
      </c>
      <c r="R23" s="60">
        <v>73.150000000000006</v>
      </c>
      <c r="S23" s="60">
        <v>72.986999999999995</v>
      </c>
      <c r="T23" s="60">
        <v>73.13</v>
      </c>
      <c r="U23" s="60">
        <v>73.13</v>
      </c>
      <c r="V23" s="71">
        <v>73.171999999999997</v>
      </c>
      <c r="W23" s="71">
        <f t="shared" si="0"/>
        <v>73.058000000000007</v>
      </c>
      <c r="X23" s="27">
        <f t="shared" si="18"/>
        <v>-3.6000000000001364E-2</v>
      </c>
      <c r="Y23" s="27">
        <f t="shared" si="19"/>
        <v>-0.17899999999998784</v>
      </c>
      <c r="Z23" s="29">
        <f t="shared" si="10"/>
        <v>0.20699999999999363</v>
      </c>
      <c r="AA23" s="50">
        <f t="shared" si="11"/>
        <v>-0.14400000000000546</v>
      </c>
      <c r="AB23" s="62">
        <f t="shared" si="12"/>
        <v>4.4000000000011141E-2</v>
      </c>
      <c r="AC23" s="62">
        <f t="shared" si="13"/>
        <v>-1.5000000000000568E-2</v>
      </c>
      <c r="AD23" s="62">
        <f t="shared" si="2"/>
        <v>-2.0000000000010232E-2</v>
      </c>
      <c r="AE23" s="62">
        <f t="shared" si="3"/>
        <v>4.2000000000001592E-2</v>
      </c>
      <c r="AF23" s="71">
        <f t="shared" si="9"/>
        <v>-0.11399999999999011</v>
      </c>
      <c r="AG23" s="71">
        <f t="shared" si="17"/>
        <v>-2.388888888888769E-2</v>
      </c>
      <c r="AH23" s="45">
        <f t="shared" si="20"/>
        <v>-7.9000000000007731E-2</v>
      </c>
      <c r="AI23" s="29">
        <f t="shared" si="21"/>
        <v>0.20900000000000318</v>
      </c>
      <c r="AJ23" s="29">
        <f t="shared" si="14"/>
        <v>-0.18599999999999284</v>
      </c>
      <c r="AK23" s="62">
        <f t="shared" si="15"/>
        <v>-0.12400000000000944</v>
      </c>
      <c r="AL23" s="62">
        <f t="shared" si="16"/>
        <v>0.17600000000000193</v>
      </c>
      <c r="AM23" s="62">
        <f t="shared" si="4"/>
        <v>-0.23000000000000398</v>
      </c>
      <c r="AN23" s="62">
        <f t="shared" si="5"/>
        <v>0.14300000000000068</v>
      </c>
      <c r="AO23" s="62">
        <f t="shared" si="22"/>
        <v>-1.3000000000001169E-2</v>
      </c>
      <c r="AP23" s="62">
        <f t="shared" si="7"/>
        <v>4.2000000000001592E-2</v>
      </c>
      <c r="AQ23" s="62">
        <f t="shared" si="8"/>
        <v>-7.1999999999988518E-2</v>
      </c>
      <c r="AR23"/>
    </row>
    <row r="24" spans="1:44" x14ac:dyDescent="0.25">
      <c r="A24" s="3">
        <v>131</v>
      </c>
      <c r="B24" s="60">
        <v>2332746.41</v>
      </c>
      <c r="C24" s="60">
        <v>6191751.9589999998</v>
      </c>
      <c r="D24" s="60">
        <v>242.94900000000001</v>
      </c>
      <c r="E24" s="6" t="s">
        <v>62</v>
      </c>
      <c r="F24" s="27">
        <v>243.17500000000001</v>
      </c>
      <c r="G24" s="27">
        <v>243.22200000000001</v>
      </c>
      <c r="H24" s="27">
        <v>243.19300000000001</v>
      </c>
      <c r="I24" s="27">
        <v>243.26499999999999</v>
      </c>
      <c r="J24" s="27">
        <v>243.01</v>
      </c>
      <c r="K24" s="27">
        <v>243.15600000000001</v>
      </c>
      <c r="L24" s="27">
        <v>243.09</v>
      </c>
      <c r="M24" s="51">
        <v>243.107</v>
      </c>
      <c r="N24" s="49">
        <v>242.94800000000001</v>
      </c>
      <c r="O24" s="64">
        <v>242.964</v>
      </c>
      <c r="P24" s="60">
        <v>242.928</v>
      </c>
      <c r="Q24" s="60">
        <v>242.959</v>
      </c>
      <c r="R24" s="60">
        <v>243</v>
      </c>
      <c r="S24" s="60">
        <v>243.131</v>
      </c>
      <c r="T24" s="60">
        <v>242.79</v>
      </c>
      <c r="U24" s="60">
        <v>242.959</v>
      </c>
      <c r="V24" s="71">
        <v>242.92699999999999</v>
      </c>
      <c r="W24" s="71">
        <f t="shared" si="0"/>
        <v>242.94900000000001</v>
      </c>
      <c r="X24" s="27">
        <f t="shared" si="18"/>
        <v>1.8000000000000682E-2</v>
      </c>
      <c r="Y24" s="27">
        <f t="shared" si="19"/>
        <v>-0.18300000000002115</v>
      </c>
      <c r="Z24" s="29">
        <f t="shared" si="10"/>
        <v>8.0000000000012506E-2</v>
      </c>
      <c r="AA24" s="50">
        <f t="shared" si="11"/>
        <v>-0.14199999999999591</v>
      </c>
      <c r="AB24" s="62">
        <f t="shared" si="12"/>
        <v>-2.0000000000010232E-2</v>
      </c>
      <c r="AC24" s="62">
        <f t="shared" si="13"/>
        <v>7.2000000000002728E-2</v>
      </c>
      <c r="AD24" s="62">
        <f t="shared" si="2"/>
        <v>-0.21000000000000796</v>
      </c>
      <c r="AE24" s="62">
        <f t="shared" si="3"/>
        <v>0.13700000000000045</v>
      </c>
      <c r="AF24" s="71">
        <f t="shared" si="9"/>
        <v>2.2000000000019782E-2</v>
      </c>
      <c r="AG24" s="71">
        <f t="shared" si="17"/>
        <v>-2.5111111111111011E-2</v>
      </c>
      <c r="AH24" s="45">
        <f t="shared" si="20"/>
        <v>4.2999999999977945E-2</v>
      </c>
      <c r="AI24" s="29">
        <f t="shared" si="21"/>
        <v>-0.10899999999998045</v>
      </c>
      <c r="AJ24" s="29">
        <f t="shared" si="14"/>
        <v>-4.9000000000006594E-2</v>
      </c>
      <c r="AK24" s="62">
        <f t="shared" si="15"/>
        <v>-0.14300000000000068</v>
      </c>
      <c r="AL24" s="62">
        <f t="shared" si="16"/>
        <v>-4.9999999999954525E-3</v>
      </c>
      <c r="AM24" s="62">
        <f t="shared" si="4"/>
        <v>0.17199999999999704</v>
      </c>
      <c r="AN24" s="62">
        <f t="shared" si="5"/>
        <v>-0.17199999999999704</v>
      </c>
      <c r="AO24" s="62">
        <f t="shared" si="22"/>
        <v>-3.7571428571429318E-2</v>
      </c>
      <c r="AP24" s="62">
        <f t="shared" si="7"/>
        <v>-3.2000000000010687E-2</v>
      </c>
      <c r="AQ24" s="62">
        <f t="shared" si="8"/>
        <v>-9.9999999999909051E-3</v>
      </c>
      <c r="AR24"/>
    </row>
    <row r="25" spans="1:44" s="58" customFormat="1" x14ac:dyDescent="0.25">
      <c r="A25" s="77">
        <v>132</v>
      </c>
      <c r="B25" s="120" t="s">
        <v>104</v>
      </c>
      <c r="C25" s="120"/>
      <c r="D25" s="120"/>
      <c r="E25" s="92" t="s">
        <v>109</v>
      </c>
      <c r="F25" s="60">
        <v>127.21</v>
      </c>
      <c r="G25" s="60">
        <v>126.93600000000001</v>
      </c>
      <c r="H25" s="60">
        <v>126.81699999999999</v>
      </c>
      <c r="I25" s="60">
        <v>126.39700000000001</v>
      </c>
      <c r="J25" s="60">
        <v>126.107</v>
      </c>
      <c r="K25" s="60">
        <v>125.86499999999999</v>
      </c>
      <c r="L25" s="60">
        <v>125.789</v>
      </c>
      <c r="M25" s="64">
        <v>125.34399999999999</v>
      </c>
      <c r="N25" s="60">
        <v>125.105</v>
      </c>
      <c r="O25" s="60">
        <v>124.91500000000001</v>
      </c>
      <c r="P25" s="60">
        <v>124.678</v>
      </c>
      <c r="Q25" s="60">
        <v>124.511</v>
      </c>
      <c r="R25" s="60">
        <v>124.45</v>
      </c>
      <c r="S25" s="113"/>
      <c r="T25" s="113"/>
      <c r="U25" s="113"/>
      <c r="V25" s="113"/>
      <c r="W25" s="113"/>
      <c r="X25" s="60">
        <f t="shared" ref="X25" si="23">H25-F25</f>
        <v>-0.39300000000000068</v>
      </c>
      <c r="Y25" s="60">
        <f t="shared" ref="Y25" si="24">J25-H25</f>
        <v>-0.70999999999999375</v>
      </c>
      <c r="Z25" s="62">
        <f t="shared" ref="Z25" si="25">L25-J25</f>
        <v>-0.31799999999999784</v>
      </c>
      <c r="AA25" s="62">
        <f t="shared" ref="AA25" si="26">N25-L25</f>
        <v>-0.6839999999999975</v>
      </c>
      <c r="AB25" s="62">
        <f t="shared" ref="AB25" si="27">P25-N25</f>
        <v>-0.42700000000000671</v>
      </c>
      <c r="AC25" s="62">
        <f t="shared" ref="AC25" si="28">R25-P25</f>
        <v>-0.22799999999999443</v>
      </c>
      <c r="AD25" s="62"/>
      <c r="AE25" s="117"/>
      <c r="AF25" s="113"/>
      <c r="AG25" s="114"/>
      <c r="AH25" s="45">
        <f t="shared" ref="AH25" si="29">I25-G25</f>
        <v>-0.53900000000000148</v>
      </c>
      <c r="AI25" s="62">
        <f t="shared" ref="AI25" si="30">K25-I25</f>
        <v>-0.53200000000001069</v>
      </c>
      <c r="AJ25" s="62">
        <f t="shared" ref="AJ25" si="31">M25-K25</f>
        <v>-0.5210000000000008</v>
      </c>
      <c r="AK25" s="62">
        <f t="shared" ref="AK25" si="32">O25-M25</f>
        <v>-0.42899999999998784</v>
      </c>
      <c r="AL25" s="62">
        <f t="shared" ref="AL25" si="33">Q25-O25</f>
        <v>-0.40400000000001057</v>
      </c>
      <c r="AM25" s="117"/>
      <c r="AN25" s="117" t="s">
        <v>100</v>
      </c>
      <c r="AO25" s="117"/>
      <c r="AP25" s="117"/>
      <c r="AQ25" s="117"/>
    </row>
    <row r="26" spans="1:44" x14ac:dyDescent="0.25">
      <c r="A26" s="70" t="s">
        <v>103</v>
      </c>
      <c r="B26" s="60">
        <v>2249261.1349999998</v>
      </c>
      <c r="C26" s="60">
        <v>6122672.2410000004</v>
      </c>
      <c r="D26" s="63">
        <v>126.696</v>
      </c>
      <c r="E26" s="85" t="s">
        <v>102</v>
      </c>
      <c r="F26" s="27" t="s">
        <v>100</v>
      </c>
      <c r="G26" s="27" t="s">
        <v>100</v>
      </c>
      <c r="H26" s="27" t="s">
        <v>100</v>
      </c>
      <c r="I26" s="27" t="s">
        <v>100</v>
      </c>
      <c r="J26" s="27" t="s">
        <v>100</v>
      </c>
      <c r="K26" s="27" t="s">
        <v>100</v>
      </c>
      <c r="L26" s="27" t="s">
        <v>100</v>
      </c>
      <c r="M26" s="51" t="s">
        <v>100</v>
      </c>
      <c r="N26" s="49" t="s">
        <v>100</v>
      </c>
      <c r="O26" s="60" t="s">
        <v>100</v>
      </c>
      <c r="P26" s="60" t="s">
        <v>100</v>
      </c>
      <c r="Q26" s="60" t="s">
        <v>100</v>
      </c>
      <c r="R26" s="60" t="s">
        <v>100</v>
      </c>
      <c r="S26" s="60"/>
      <c r="T26" s="60">
        <v>127.026</v>
      </c>
      <c r="U26" s="60">
        <v>126.98</v>
      </c>
      <c r="V26" s="71">
        <v>126.892</v>
      </c>
      <c r="W26" s="71">
        <f t="shared" si="0"/>
        <v>126.696</v>
      </c>
      <c r="X26" s="27" t="s">
        <v>100</v>
      </c>
      <c r="Y26" s="27" t="s">
        <v>100</v>
      </c>
      <c r="Z26" s="29" t="s">
        <v>100</v>
      </c>
      <c r="AA26" s="50" t="s">
        <v>100</v>
      </c>
      <c r="AB26" s="62" t="s">
        <v>100</v>
      </c>
      <c r="AC26" s="62" t="s">
        <v>100</v>
      </c>
      <c r="AD26" s="62"/>
      <c r="AE26" s="62">
        <f t="shared" si="3"/>
        <v>-0.13400000000000034</v>
      </c>
      <c r="AF26" s="81">
        <f t="shared" si="9"/>
        <v>-0.19599999999999795</v>
      </c>
      <c r="AG26" s="81">
        <f>(W26-T26)/2</f>
        <v>-0.16499999999999915</v>
      </c>
      <c r="AH26" s="45" t="s">
        <v>100</v>
      </c>
      <c r="AI26" s="29" t="s">
        <v>100</v>
      </c>
      <c r="AJ26" s="29" t="s">
        <v>100</v>
      </c>
      <c r="AK26" s="62" t="s">
        <v>100</v>
      </c>
      <c r="AL26" s="62" t="s">
        <v>100</v>
      </c>
      <c r="AM26" s="62"/>
      <c r="AN26" s="62" t="s">
        <v>100</v>
      </c>
      <c r="AO26" s="62" t="s">
        <v>100</v>
      </c>
      <c r="AP26" s="62">
        <f t="shared" si="7"/>
        <v>-8.8000000000008072E-2</v>
      </c>
      <c r="AQ26" s="62">
        <f t="shared" si="8"/>
        <v>-0.28400000000000603</v>
      </c>
      <c r="AR26"/>
    </row>
    <row r="27" spans="1:44" x14ac:dyDescent="0.25">
      <c r="A27" s="3">
        <v>133</v>
      </c>
      <c r="B27" s="60">
        <v>2273311.3709999998</v>
      </c>
      <c r="C27" s="60">
        <v>6111332.193</v>
      </c>
      <c r="D27" s="60">
        <v>118.926</v>
      </c>
      <c r="E27" s="6" t="s">
        <v>12</v>
      </c>
      <c r="F27" s="27">
        <v>122.331</v>
      </c>
      <c r="G27" s="27">
        <v>122.215</v>
      </c>
      <c r="H27" s="27">
        <v>121.98399999999999</v>
      </c>
      <c r="I27" s="27">
        <v>121.74</v>
      </c>
      <c r="J27" s="27">
        <v>121.358</v>
      </c>
      <c r="K27" s="27">
        <v>121.282</v>
      </c>
      <c r="L27" s="27">
        <v>121.123</v>
      </c>
      <c r="M27" s="51">
        <v>120.81699999999999</v>
      </c>
      <c r="N27" s="49">
        <v>120.492</v>
      </c>
      <c r="O27" s="64">
        <v>120.426</v>
      </c>
      <c r="P27" s="60">
        <v>120.029</v>
      </c>
      <c r="Q27" s="60">
        <v>119.93300000000001</v>
      </c>
      <c r="R27" s="60">
        <v>119.87</v>
      </c>
      <c r="S27" s="60">
        <v>119.664</v>
      </c>
      <c r="T27" s="60">
        <v>119.51</v>
      </c>
      <c r="U27" s="60">
        <v>119.40900000000001</v>
      </c>
      <c r="V27" s="71">
        <v>119.279</v>
      </c>
      <c r="W27" s="71">
        <f t="shared" si="0"/>
        <v>118.926</v>
      </c>
      <c r="X27" s="27">
        <f t="shared" ref="X27:X35" si="34">H27-F27</f>
        <v>-0.34700000000000841</v>
      </c>
      <c r="Y27" s="27">
        <f t="shared" ref="Y27:Y35" si="35">J27-H27</f>
        <v>-0.62599999999999056</v>
      </c>
      <c r="Z27" s="29">
        <f t="shared" ref="Z27:Z39" si="36">L27-J27</f>
        <v>-0.23499999999999943</v>
      </c>
      <c r="AA27" s="50">
        <f t="shared" ref="AA27:AA39" si="37">N27-L27</f>
        <v>-0.63100000000000023</v>
      </c>
      <c r="AB27" s="62">
        <f t="shared" ref="AB27:AB52" si="38">P27-N27</f>
        <v>-0.46300000000000807</v>
      </c>
      <c r="AC27" s="62">
        <f>R27-P27</f>
        <v>-0.15899999999999181</v>
      </c>
      <c r="AD27" s="62">
        <f t="shared" si="2"/>
        <v>-0.35999999999999943</v>
      </c>
      <c r="AE27" s="62">
        <f t="shared" si="3"/>
        <v>-0.23100000000000875</v>
      </c>
      <c r="AF27" s="71">
        <f t="shared" si="9"/>
        <v>-0.35299999999999443</v>
      </c>
      <c r="AG27" s="71">
        <f>(W27-F27)/9</f>
        <v>-0.37833333333333347</v>
      </c>
      <c r="AH27" s="45">
        <f t="shared" ref="AH27:AH35" si="39">I27-G27</f>
        <v>-0.47500000000000853</v>
      </c>
      <c r="AI27" s="29">
        <f t="shared" ref="AI27:AI35" si="40">K27-I27</f>
        <v>-0.45799999999999841</v>
      </c>
      <c r="AJ27" s="29">
        <f t="shared" ref="AJ27:AJ39" si="41">M27-K27</f>
        <v>-0.46500000000000341</v>
      </c>
      <c r="AK27" s="62">
        <f t="shared" ref="AK27:AK39" si="42">O27-M27</f>
        <v>-0.39099999999999113</v>
      </c>
      <c r="AL27" s="62">
        <f>Q27-O27</f>
        <v>-0.492999999999995</v>
      </c>
      <c r="AM27" s="62">
        <f>S27-Q27</f>
        <v>-0.26900000000000546</v>
      </c>
      <c r="AN27" s="62">
        <f t="shared" si="5"/>
        <v>-0.25499999999999545</v>
      </c>
      <c r="AO27" s="62">
        <f t="shared" si="22"/>
        <v>-0.40085714285714247</v>
      </c>
      <c r="AP27" s="62">
        <f t="shared" si="7"/>
        <v>-0.13000000000000966</v>
      </c>
      <c r="AQ27" s="62">
        <f t="shared" si="8"/>
        <v>-0.48300000000000409</v>
      </c>
      <c r="AR27"/>
    </row>
    <row r="28" spans="1:44" x14ac:dyDescent="0.25">
      <c r="A28" s="77">
        <v>134</v>
      </c>
      <c r="B28" s="120" t="s">
        <v>104</v>
      </c>
      <c r="C28" s="120"/>
      <c r="D28" s="120"/>
      <c r="E28" s="84" t="s">
        <v>98</v>
      </c>
      <c r="F28" s="27">
        <v>290.16399999999999</v>
      </c>
      <c r="G28" s="27">
        <v>290.245</v>
      </c>
      <c r="H28" s="27">
        <v>290.02600000000001</v>
      </c>
      <c r="I28" s="27">
        <v>290.09899999999999</v>
      </c>
      <c r="J28" s="27">
        <v>289.91800000000001</v>
      </c>
      <c r="K28" s="27">
        <v>290.07499999999999</v>
      </c>
      <c r="L28" s="27">
        <v>289.98099999999999</v>
      </c>
      <c r="M28" s="51">
        <v>290.15800000000002</v>
      </c>
      <c r="N28" s="49">
        <v>290.09100000000001</v>
      </c>
      <c r="O28" s="60">
        <v>290.07100000000003</v>
      </c>
      <c r="P28" s="60">
        <v>289.98200000000003</v>
      </c>
      <c r="Q28" s="60">
        <v>289.00799999999998</v>
      </c>
      <c r="R28" s="113"/>
      <c r="S28" s="113"/>
      <c r="T28" s="113"/>
      <c r="U28" s="113"/>
      <c r="V28" s="113"/>
      <c r="W28" s="113"/>
      <c r="X28" s="27">
        <f t="shared" si="34"/>
        <v>-0.13799999999997681</v>
      </c>
      <c r="Y28" s="27">
        <f t="shared" si="35"/>
        <v>-0.10800000000000409</v>
      </c>
      <c r="Z28" s="29">
        <f t="shared" si="36"/>
        <v>6.2999999999988177E-2</v>
      </c>
      <c r="AA28" s="50">
        <f t="shared" si="37"/>
        <v>0.11000000000001364</v>
      </c>
      <c r="AB28" s="62">
        <f t="shared" si="38"/>
        <v>-0.10899999999998045</v>
      </c>
      <c r="AC28" s="117" t="s">
        <v>100</v>
      </c>
      <c r="AD28" s="117"/>
      <c r="AE28" s="117"/>
      <c r="AF28" s="113"/>
      <c r="AG28" s="114" t="s">
        <v>100</v>
      </c>
      <c r="AH28" s="45">
        <f t="shared" si="39"/>
        <v>-0.14600000000001501</v>
      </c>
      <c r="AI28" s="29">
        <f t="shared" si="40"/>
        <v>-2.4000000000000909E-2</v>
      </c>
      <c r="AJ28" s="29">
        <f t="shared" si="41"/>
        <v>8.300000000002683E-2</v>
      </c>
      <c r="AK28" s="62">
        <f t="shared" si="42"/>
        <v>-8.6999999999989086E-2</v>
      </c>
      <c r="AL28" s="117"/>
      <c r="AM28" s="117"/>
      <c r="AN28" s="117" t="s">
        <v>100</v>
      </c>
      <c r="AO28" s="117"/>
      <c r="AP28" s="117"/>
      <c r="AQ28" s="117"/>
      <c r="AR28"/>
    </row>
    <row r="29" spans="1:44" x14ac:dyDescent="0.25">
      <c r="A29" s="3">
        <v>135</v>
      </c>
      <c r="B29" s="60">
        <v>2280213.4890000001</v>
      </c>
      <c r="C29" s="60">
        <v>6203601.9469999997</v>
      </c>
      <c r="D29" s="60">
        <v>233.91499999999999</v>
      </c>
      <c r="E29" s="6" t="s">
        <v>49</v>
      </c>
      <c r="F29" s="27">
        <v>236.80199999999999</v>
      </c>
      <c r="G29" s="27">
        <v>236.73</v>
      </c>
      <c r="H29" s="27">
        <v>236.59800000000001</v>
      </c>
      <c r="I29" s="27">
        <v>236.51499999999999</v>
      </c>
      <c r="J29" s="27">
        <v>236.14400000000001</v>
      </c>
      <c r="K29" s="27">
        <v>235.899</v>
      </c>
      <c r="L29" s="27">
        <v>235.76900000000001</v>
      </c>
      <c r="M29" s="51">
        <v>235.50800000000001</v>
      </c>
      <c r="N29" s="49">
        <v>235.18700000000001</v>
      </c>
      <c r="O29" s="64">
        <v>235.03800000000001</v>
      </c>
      <c r="P29" s="60">
        <v>234.88900000000001</v>
      </c>
      <c r="Q29" s="60">
        <v>234.74100000000001</v>
      </c>
      <c r="R29" s="60">
        <v>234.73</v>
      </c>
      <c r="S29" s="60">
        <v>234.66499999999999</v>
      </c>
      <c r="T29" s="60">
        <v>234.262</v>
      </c>
      <c r="U29" s="60">
        <v>234.24799999999999</v>
      </c>
      <c r="V29" s="71">
        <v>234.12799999999999</v>
      </c>
      <c r="W29" s="71">
        <f t="shared" si="0"/>
        <v>233.91499999999999</v>
      </c>
      <c r="X29" s="27">
        <f t="shared" si="34"/>
        <v>-0.20399999999997931</v>
      </c>
      <c r="Y29" s="27">
        <f t="shared" si="35"/>
        <v>-0.45400000000000773</v>
      </c>
      <c r="Z29" s="29">
        <f t="shared" si="36"/>
        <v>-0.375</v>
      </c>
      <c r="AA29" s="50">
        <f t="shared" si="37"/>
        <v>-0.58199999999999363</v>
      </c>
      <c r="AB29" s="62">
        <f t="shared" si="38"/>
        <v>-0.29800000000000182</v>
      </c>
      <c r="AC29" s="62">
        <f>R29-P29</f>
        <v>-0.15900000000002024</v>
      </c>
      <c r="AD29" s="62">
        <f t="shared" si="2"/>
        <v>-0.46799999999998931</v>
      </c>
      <c r="AE29" s="62">
        <f t="shared" si="3"/>
        <v>-0.13400000000001455</v>
      </c>
      <c r="AF29" s="71">
        <f t="shared" si="9"/>
        <v>-0.21299999999999386</v>
      </c>
      <c r="AG29" s="71">
        <f>(W29-F29)/9</f>
        <v>-0.32077777777777783</v>
      </c>
      <c r="AH29" s="45">
        <f t="shared" si="39"/>
        <v>-0.21500000000000341</v>
      </c>
      <c r="AI29" s="29">
        <f t="shared" si="40"/>
        <v>-0.61599999999998545</v>
      </c>
      <c r="AJ29" s="29">
        <f t="shared" si="41"/>
        <v>-0.39099999999999113</v>
      </c>
      <c r="AK29" s="62">
        <f t="shared" si="42"/>
        <v>-0.46999999999999886</v>
      </c>
      <c r="AL29" s="62">
        <f>Q29-O29</f>
        <v>-0.29699999999999704</v>
      </c>
      <c r="AM29" s="62">
        <f t="shared" ref="AM29:AM32" si="43">S29-Q29</f>
        <v>-7.6000000000021828E-2</v>
      </c>
      <c r="AN29" s="62">
        <f t="shared" si="5"/>
        <v>-0.41700000000000159</v>
      </c>
      <c r="AO29" s="62">
        <f t="shared" si="22"/>
        <v>-0.35457142857142848</v>
      </c>
      <c r="AP29" s="62">
        <f t="shared" si="7"/>
        <v>-0.12000000000000455</v>
      </c>
      <c r="AQ29" s="62">
        <f t="shared" si="8"/>
        <v>-0.33299999999999841</v>
      </c>
      <c r="AR29"/>
    </row>
    <row r="30" spans="1:44" x14ac:dyDescent="0.25">
      <c r="A30" s="3">
        <v>137</v>
      </c>
      <c r="B30" s="60">
        <v>2271706.378</v>
      </c>
      <c r="C30" s="60">
        <v>6053044.1560000004</v>
      </c>
      <c r="D30" s="60">
        <v>100.09699999999999</v>
      </c>
      <c r="E30" s="6" t="s">
        <v>50</v>
      </c>
      <c r="F30" s="27">
        <v>101.086</v>
      </c>
      <c r="G30" s="27">
        <v>101.03700000000001</v>
      </c>
      <c r="H30" s="27">
        <v>100.983</v>
      </c>
      <c r="I30" s="27">
        <v>100.934</v>
      </c>
      <c r="J30" s="27">
        <v>100.7</v>
      </c>
      <c r="K30" s="27">
        <v>100.761</v>
      </c>
      <c r="L30" s="27">
        <v>100.73699999999999</v>
      </c>
      <c r="M30" s="51">
        <v>100.709</v>
      </c>
      <c r="N30" s="49">
        <v>100.57899999999999</v>
      </c>
      <c r="O30" s="60">
        <v>100.492</v>
      </c>
      <c r="P30" s="60">
        <v>100.453</v>
      </c>
      <c r="Q30" s="60">
        <v>100.443</v>
      </c>
      <c r="R30" s="60">
        <v>100.4</v>
      </c>
      <c r="S30" s="60">
        <v>100.315</v>
      </c>
      <c r="T30" s="60">
        <v>100.285</v>
      </c>
      <c r="U30" s="60">
        <v>100.22499999999999</v>
      </c>
      <c r="V30" s="71">
        <v>100.2</v>
      </c>
      <c r="W30" s="71">
        <f t="shared" si="0"/>
        <v>100.09699999999999</v>
      </c>
      <c r="X30" s="27">
        <f t="shared" si="34"/>
        <v>-0.10299999999999443</v>
      </c>
      <c r="Y30" s="27">
        <f t="shared" si="35"/>
        <v>-0.28300000000000125</v>
      </c>
      <c r="Z30" s="29">
        <f t="shared" si="36"/>
        <v>3.6999999999991928E-2</v>
      </c>
      <c r="AA30" s="50">
        <f t="shared" si="37"/>
        <v>-0.15800000000000125</v>
      </c>
      <c r="AB30" s="62">
        <f t="shared" si="38"/>
        <v>-0.12599999999999056</v>
      </c>
      <c r="AC30" s="62">
        <f>R30-P30</f>
        <v>-5.2999999999997272E-2</v>
      </c>
      <c r="AD30" s="62">
        <f t="shared" si="2"/>
        <v>-0.11500000000000909</v>
      </c>
      <c r="AE30" s="62">
        <f t="shared" si="3"/>
        <v>-8.4999999999993747E-2</v>
      </c>
      <c r="AF30" s="71">
        <f t="shared" si="9"/>
        <v>-0.10300000000000864</v>
      </c>
      <c r="AG30" s="71">
        <f t="shared" ref="AG30:AG35" si="44">(W30-F30)/9</f>
        <v>-0.10988888888888937</v>
      </c>
      <c r="AH30" s="45">
        <f t="shared" si="39"/>
        <v>-0.10300000000000864</v>
      </c>
      <c r="AI30" s="29">
        <f t="shared" si="40"/>
        <v>-0.17300000000000182</v>
      </c>
      <c r="AJ30" s="29">
        <f t="shared" si="41"/>
        <v>-5.1999999999992497E-2</v>
      </c>
      <c r="AK30" s="62">
        <f t="shared" si="42"/>
        <v>-0.21699999999999875</v>
      </c>
      <c r="AL30" s="62">
        <f>Q30-O30</f>
        <v>-4.9000000000006594E-2</v>
      </c>
      <c r="AM30" s="62">
        <f t="shared" si="43"/>
        <v>-0.12800000000000011</v>
      </c>
      <c r="AN30" s="62">
        <f t="shared" si="5"/>
        <v>-9.0000000000003411E-2</v>
      </c>
      <c r="AO30" s="62">
        <f t="shared" si="22"/>
        <v>-0.11600000000000169</v>
      </c>
      <c r="AP30" s="62">
        <f t="shared" si="7"/>
        <v>-2.4999999999991473E-2</v>
      </c>
      <c r="AQ30" s="62">
        <f t="shared" si="8"/>
        <v>-0.12800000000000011</v>
      </c>
      <c r="AR30"/>
    </row>
    <row r="31" spans="1:44" x14ac:dyDescent="0.25">
      <c r="A31" s="3">
        <v>138</v>
      </c>
      <c r="B31" s="60">
        <v>2423374.0690000001</v>
      </c>
      <c r="C31" s="60">
        <v>5929562.818</v>
      </c>
      <c r="D31" s="60">
        <v>238.92500000000001</v>
      </c>
      <c r="E31" s="6" t="s">
        <v>13</v>
      </c>
      <c r="F31" s="27">
        <v>239.03299999999999</v>
      </c>
      <c r="G31" s="27">
        <v>238.999</v>
      </c>
      <c r="H31" s="27">
        <v>239.035</v>
      </c>
      <c r="I31" s="27">
        <v>238.90600000000001</v>
      </c>
      <c r="J31" s="27">
        <v>238.804</v>
      </c>
      <c r="K31" s="27">
        <v>239.28299999999999</v>
      </c>
      <c r="L31" s="27">
        <v>239.16499999999999</v>
      </c>
      <c r="M31" s="51">
        <v>239.072</v>
      </c>
      <c r="N31" s="49">
        <v>239.001</v>
      </c>
      <c r="O31" s="64">
        <v>238.93600000000001</v>
      </c>
      <c r="P31" s="60">
        <v>239.047</v>
      </c>
      <c r="Q31" s="60">
        <v>239.10300000000001</v>
      </c>
      <c r="R31" s="60">
        <v>238.95</v>
      </c>
      <c r="S31" s="60">
        <v>238.82599999999999</v>
      </c>
      <c r="T31" s="60">
        <v>238.905</v>
      </c>
      <c r="U31" s="60">
        <v>238.833</v>
      </c>
      <c r="V31" s="71">
        <v>239.03299999999999</v>
      </c>
      <c r="W31" s="71">
        <f t="shared" si="0"/>
        <v>238.92500000000001</v>
      </c>
      <c r="X31" s="27">
        <f t="shared" si="34"/>
        <v>2.0000000000095497E-3</v>
      </c>
      <c r="Y31" s="27">
        <f t="shared" si="35"/>
        <v>-0.23099999999999454</v>
      </c>
      <c r="Z31" s="29">
        <f t="shared" si="36"/>
        <v>0.36099999999999</v>
      </c>
      <c r="AA31" s="50">
        <f t="shared" si="37"/>
        <v>-0.16399999999998727</v>
      </c>
      <c r="AB31" s="62">
        <f t="shared" si="38"/>
        <v>4.5999999999992269E-2</v>
      </c>
      <c r="AC31" s="62">
        <f>R31-P31</f>
        <v>-9.7000000000008413E-2</v>
      </c>
      <c r="AD31" s="62">
        <f t="shared" si="2"/>
        <v>-4.4999999999987494E-2</v>
      </c>
      <c r="AE31" s="62">
        <f t="shared" si="3"/>
        <v>0.1279999999999859</v>
      </c>
      <c r="AF31" s="71">
        <f t="shared" si="9"/>
        <v>-0.10799999999997567</v>
      </c>
      <c r="AG31" s="71">
        <f t="shared" si="44"/>
        <v>-1.1999999999997298E-2</v>
      </c>
      <c r="AH31" s="45">
        <f t="shared" si="39"/>
        <v>-9.2999999999989313E-2</v>
      </c>
      <c r="AI31" s="29">
        <f t="shared" si="40"/>
        <v>0.37699999999998113</v>
      </c>
      <c r="AJ31" s="29">
        <f t="shared" si="41"/>
        <v>-0.21099999999998431</v>
      </c>
      <c r="AK31" s="62">
        <f t="shared" si="42"/>
        <v>-0.13599999999999568</v>
      </c>
      <c r="AL31" s="62">
        <f>Q31-O31</f>
        <v>0.16700000000000159</v>
      </c>
      <c r="AM31" s="62">
        <f t="shared" si="43"/>
        <v>-0.27700000000001523</v>
      </c>
      <c r="AN31" s="62">
        <f t="shared" si="5"/>
        <v>7.0000000000050022E-3</v>
      </c>
      <c r="AO31" s="62">
        <f t="shared" si="22"/>
        <v>-2.3714285714285261E-2</v>
      </c>
      <c r="AP31" s="30">
        <f t="shared" si="7"/>
        <v>0.19999999999998863</v>
      </c>
      <c r="AQ31" s="30">
        <f t="shared" si="8"/>
        <v>9.200000000001296E-2</v>
      </c>
      <c r="AR31"/>
    </row>
    <row r="32" spans="1:44" x14ac:dyDescent="0.25">
      <c r="A32" s="3">
        <v>139</v>
      </c>
      <c r="B32" s="60">
        <v>2099649.73</v>
      </c>
      <c r="C32" s="60">
        <v>6250235.193</v>
      </c>
      <c r="D32" s="60">
        <v>185.33600000000001</v>
      </c>
      <c r="E32" s="6" t="s">
        <v>14</v>
      </c>
      <c r="F32" s="27">
        <v>187.179</v>
      </c>
      <c r="G32" s="27">
        <v>187.05500000000001</v>
      </c>
      <c r="H32" s="27">
        <v>186.98099999999999</v>
      </c>
      <c r="I32" s="27">
        <v>186.9</v>
      </c>
      <c r="J32" s="27">
        <v>186.53700000000001</v>
      </c>
      <c r="K32" s="27">
        <v>186.36199999999999</v>
      </c>
      <c r="L32" s="27">
        <v>186.387</v>
      </c>
      <c r="M32" s="51">
        <v>186.286</v>
      </c>
      <c r="N32" s="49">
        <v>186.13</v>
      </c>
      <c r="O32" s="60">
        <v>186.017</v>
      </c>
      <c r="P32" s="60">
        <v>185.83199999999999</v>
      </c>
      <c r="Q32" s="60">
        <v>185.83699999999999</v>
      </c>
      <c r="R32" s="60">
        <v>185.76</v>
      </c>
      <c r="S32" s="60">
        <v>185.76300000000001</v>
      </c>
      <c r="T32" s="60">
        <v>185.61699999999999</v>
      </c>
      <c r="U32" s="60">
        <v>185.57900000000001</v>
      </c>
      <c r="V32" s="71">
        <v>185.48699999999999</v>
      </c>
      <c r="W32" s="71">
        <f t="shared" si="0"/>
        <v>185.33600000000001</v>
      </c>
      <c r="X32" s="27">
        <f t="shared" si="34"/>
        <v>-0.1980000000000075</v>
      </c>
      <c r="Y32" s="27">
        <f t="shared" si="35"/>
        <v>-0.4439999999999884</v>
      </c>
      <c r="Z32" s="29">
        <f t="shared" si="36"/>
        <v>-0.15000000000000568</v>
      </c>
      <c r="AA32" s="50">
        <f t="shared" si="37"/>
        <v>-0.257000000000005</v>
      </c>
      <c r="AB32" s="62">
        <f t="shared" si="38"/>
        <v>-0.29800000000000182</v>
      </c>
      <c r="AC32" s="62">
        <f>R32-P32</f>
        <v>-7.2000000000002728E-2</v>
      </c>
      <c r="AD32" s="62">
        <f t="shared" si="2"/>
        <v>-0.14300000000000068</v>
      </c>
      <c r="AE32" s="62">
        <f t="shared" si="3"/>
        <v>-0.12999999999999545</v>
      </c>
      <c r="AF32" s="71">
        <f t="shared" si="9"/>
        <v>-0.15099999999998204</v>
      </c>
      <c r="AG32" s="71">
        <f t="shared" si="44"/>
        <v>-0.20477777777777659</v>
      </c>
      <c r="AH32" s="45">
        <f t="shared" si="39"/>
        <v>-0.15500000000000114</v>
      </c>
      <c r="AI32" s="29">
        <f t="shared" si="40"/>
        <v>-0.53800000000001091</v>
      </c>
      <c r="AJ32" s="29">
        <f t="shared" si="41"/>
        <v>-7.5999999999993406E-2</v>
      </c>
      <c r="AK32" s="62">
        <f t="shared" si="42"/>
        <v>-0.26900000000000546</v>
      </c>
      <c r="AL32" s="62">
        <f>Q32-O32</f>
        <v>-0.18000000000000682</v>
      </c>
      <c r="AM32" s="62">
        <f t="shared" si="43"/>
        <v>-7.3999999999983856E-2</v>
      </c>
      <c r="AN32" s="62">
        <f t="shared" si="5"/>
        <v>-0.1839999999999975</v>
      </c>
      <c r="AO32" s="62">
        <f t="shared" si="22"/>
        <v>-0.21085714285714272</v>
      </c>
      <c r="AP32" s="62">
        <f t="shared" si="7"/>
        <v>-9.200000000001296E-2</v>
      </c>
      <c r="AQ32" s="62">
        <f t="shared" si="8"/>
        <v>-0.242999999999995</v>
      </c>
      <c r="AR32"/>
    </row>
    <row r="33" spans="1:44" x14ac:dyDescent="0.25">
      <c r="A33" s="77">
        <v>140</v>
      </c>
      <c r="B33" s="120" t="s">
        <v>104</v>
      </c>
      <c r="C33" s="120"/>
      <c r="D33" s="120"/>
      <c r="E33" s="84" t="s">
        <v>15</v>
      </c>
      <c r="F33" s="27">
        <v>292.58199999999999</v>
      </c>
      <c r="G33" s="27">
        <v>292.62299999999999</v>
      </c>
      <c r="H33" s="27">
        <v>292.50799999999998</v>
      </c>
      <c r="I33" s="27">
        <v>292.577</v>
      </c>
      <c r="J33" s="27">
        <v>292.27</v>
      </c>
      <c r="K33" s="27">
        <v>292.44799999999998</v>
      </c>
      <c r="L33" s="27">
        <v>292.39299999999997</v>
      </c>
      <c r="M33" s="51">
        <v>292.49200000000002</v>
      </c>
      <c r="N33" s="49">
        <v>292.44600000000003</v>
      </c>
      <c r="O33" s="64">
        <v>292.42599999999999</v>
      </c>
      <c r="P33" s="60">
        <v>292.35599999999999</v>
      </c>
      <c r="Q33" s="60">
        <v>293.67</v>
      </c>
      <c r="R33" s="113"/>
      <c r="S33" s="113"/>
      <c r="T33" s="113"/>
      <c r="U33" s="113"/>
      <c r="V33" s="113"/>
      <c r="W33" s="113"/>
      <c r="X33" s="27">
        <f t="shared" si="34"/>
        <v>-7.4000000000012278E-2</v>
      </c>
      <c r="Y33" s="27">
        <f t="shared" si="35"/>
        <v>-0.23799999999999955</v>
      </c>
      <c r="Z33" s="29">
        <f t="shared" si="36"/>
        <v>0.12299999999999045</v>
      </c>
      <c r="AA33" s="50">
        <f t="shared" si="37"/>
        <v>5.3000000000054115E-2</v>
      </c>
      <c r="AB33" s="62">
        <f t="shared" si="38"/>
        <v>-9.0000000000031832E-2</v>
      </c>
      <c r="AC33" s="117" t="s">
        <v>100</v>
      </c>
      <c r="AD33" s="117"/>
      <c r="AE33" s="117"/>
      <c r="AF33" s="113"/>
      <c r="AG33" s="114" t="s">
        <v>100</v>
      </c>
      <c r="AH33" s="45">
        <f t="shared" si="39"/>
        <v>-4.5999999999992269E-2</v>
      </c>
      <c r="AI33" s="29">
        <f t="shared" si="40"/>
        <v>-0.1290000000000191</v>
      </c>
      <c r="AJ33" s="29">
        <f t="shared" si="41"/>
        <v>4.4000000000039563E-2</v>
      </c>
      <c r="AK33" s="62">
        <f t="shared" si="42"/>
        <v>-6.6000000000030923E-2</v>
      </c>
      <c r="AL33" s="117"/>
      <c r="AM33" s="117"/>
      <c r="AN33" s="117" t="s">
        <v>100</v>
      </c>
      <c r="AO33" s="117"/>
      <c r="AP33" s="117"/>
      <c r="AQ33" s="117"/>
      <c r="AR33"/>
    </row>
    <row r="34" spans="1:44" x14ac:dyDescent="0.25">
      <c r="A34" s="3">
        <v>141</v>
      </c>
      <c r="B34" s="60">
        <v>2207496.7799999998</v>
      </c>
      <c r="C34" s="60">
        <v>6274591.8650000002</v>
      </c>
      <c r="D34" s="60">
        <v>284.79599999999999</v>
      </c>
      <c r="E34" s="6" t="s">
        <v>63</v>
      </c>
      <c r="F34" s="27">
        <v>285.55399999999997</v>
      </c>
      <c r="G34" s="27">
        <v>285.52199999999999</v>
      </c>
      <c r="H34" s="27">
        <v>285.37799999999999</v>
      </c>
      <c r="I34" s="27">
        <v>285.48599999999999</v>
      </c>
      <c r="J34" s="27">
        <v>285.17099999999999</v>
      </c>
      <c r="K34" s="27">
        <v>285.20499999999998</v>
      </c>
      <c r="L34" s="27">
        <v>285.21800000000002</v>
      </c>
      <c r="M34" s="51">
        <v>285.34399999999999</v>
      </c>
      <c r="N34" s="49">
        <v>285.20600000000002</v>
      </c>
      <c r="O34" s="60">
        <v>285.149</v>
      </c>
      <c r="P34" s="60">
        <v>285.10700000000003</v>
      </c>
      <c r="Q34" s="60">
        <v>285.07900000000001</v>
      </c>
      <c r="R34" s="60">
        <v>285.08</v>
      </c>
      <c r="S34" s="60">
        <v>285.08800000000002</v>
      </c>
      <c r="T34" s="60">
        <v>284.86799999999999</v>
      </c>
      <c r="U34" s="60">
        <v>284.92899999999997</v>
      </c>
      <c r="V34" s="71">
        <v>284.822</v>
      </c>
      <c r="W34" s="71">
        <f t="shared" si="0"/>
        <v>284.79599999999999</v>
      </c>
      <c r="X34" s="27">
        <f t="shared" si="34"/>
        <v>-0.17599999999998772</v>
      </c>
      <c r="Y34" s="27">
        <f t="shared" si="35"/>
        <v>-0.20699999999999363</v>
      </c>
      <c r="Z34" s="29">
        <f t="shared" si="36"/>
        <v>4.7000000000025466E-2</v>
      </c>
      <c r="AA34" s="50">
        <f t="shared" si="37"/>
        <v>-1.2000000000000455E-2</v>
      </c>
      <c r="AB34" s="62">
        <f t="shared" si="38"/>
        <v>-9.8999999999989541E-2</v>
      </c>
      <c r="AC34" s="62">
        <f t="shared" ref="AC34:AC52" si="45">R34-P34</f>
        <v>-2.7000000000043656E-2</v>
      </c>
      <c r="AD34" s="62">
        <f t="shared" si="2"/>
        <v>-0.21199999999998909</v>
      </c>
      <c r="AE34" s="62">
        <f t="shared" si="3"/>
        <v>-4.5999999999992269E-2</v>
      </c>
      <c r="AF34" s="71">
        <f t="shared" si="9"/>
        <v>-2.6000000000010459E-2</v>
      </c>
      <c r="AG34" s="71">
        <f t="shared" si="44"/>
        <v>-8.4222222222220144E-2</v>
      </c>
      <c r="AH34" s="45">
        <f t="shared" si="39"/>
        <v>-3.6000000000001364E-2</v>
      </c>
      <c r="AI34" s="29">
        <f t="shared" si="40"/>
        <v>-0.28100000000000591</v>
      </c>
      <c r="AJ34" s="29">
        <f t="shared" si="41"/>
        <v>0.13900000000001</v>
      </c>
      <c r="AK34" s="62">
        <f t="shared" si="42"/>
        <v>-0.19499999999999318</v>
      </c>
      <c r="AL34" s="62">
        <f t="shared" ref="AL34:AL52" si="46">Q34-O34</f>
        <v>-6.9999999999993179E-2</v>
      </c>
      <c r="AM34" s="62">
        <f t="shared" ref="AM34:AM52" si="47">S34-Q34</f>
        <v>9.0000000000145519E-3</v>
      </c>
      <c r="AN34" s="62">
        <f t="shared" si="5"/>
        <v>-0.15900000000004866</v>
      </c>
      <c r="AO34" s="62">
        <f t="shared" si="22"/>
        <v>-8.4714285714288254E-2</v>
      </c>
      <c r="AP34" s="62">
        <f t="shared" si="7"/>
        <v>-0.1069999999999709</v>
      </c>
      <c r="AQ34" s="62">
        <f t="shared" si="8"/>
        <v>-0.13299999999998136</v>
      </c>
      <c r="AR34"/>
    </row>
    <row r="35" spans="1:44" x14ac:dyDescent="0.25">
      <c r="A35" s="3">
        <v>142</v>
      </c>
      <c r="B35" s="60">
        <v>2239184.324</v>
      </c>
      <c r="C35" s="60">
        <v>6329798.1090000002</v>
      </c>
      <c r="D35" s="60">
        <v>430.447</v>
      </c>
      <c r="E35" s="6" t="s">
        <v>51</v>
      </c>
      <c r="F35" s="27">
        <v>430.54199999999997</v>
      </c>
      <c r="G35" s="27">
        <v>430.66899999999998</v>
      </c>
      <c r="H35" s="27">
        <v>430.40699999999998</v>
      </c>
      <c r="I35" s="27">
        <v>430.548</v>
      </c>
      <c r="J35" s="27">
        <v>430.25799999999998</v>
      </c>
      <c r="K35" s="27">
        <v>430.44600000000003</v>
      </c>
      <c r="L35" s="27">
        <v>430.28800000000001</v>
      </c>
      <c r="M35" s="51">
        <v>430.68599999999998</v>
      </c>
      <c r="N35" s="49">
        <v>430.54399999999998</v>
      </c>
      <c r="O35" s="64">
        <v>430.51600000000002</v>
      </c>
      <c r="P35" s="60">
        <v>430.46499999999997</v>
      </c>
      <c r="Q35" s="60">
        <v>430.51299999999998</v>
      </c>
      <c r="R35" s="60">
        <v>430.49</v>
      </c>
      <c r="S35" s="60">
        <v>430.55099999999999</v>
      </c>
      <c r="T35" s="60">
        <v>430.32</v>
      </c>
      <c r="U35" s="60">
        <v>430.42599999999999</v>
      </c>
      <c r="V35" s="71">
        <v>430.35199999999998</v>
      </c>
      <c r="W35" s="71">
        <f t="shared" si="0"/>
        <v>430.447</v>
      </c>
      <c r="X35" s="27">
        <f t="shared" si="34"/>
        <v>-0.13499999999999091</v>
      </c>
      <c r="Y35" s="27">
        <f t="shared" si="35"/>
        <v>-0.14900000000000091</v>
      </c>
      <c r="Z35" s="29">
        <f t="shared" si="36"/>
        <v>3.0000000000029559E-2</v>
      </c>
      <c r="AA35" s="50">
        <f t="shared" si="37"/>
        <v>0.25599999999997181</v>
      </c>
      <c r="AB35" s="62">
        <f t="shared" si="38"/>
        <v>-7.9000000000007731E-2</v>
      </c>
      <c r="AC35" s="62">
        <f t="shared" si="45"/>
        <v>2.5000000000034106E-2</v>
      </c>
      <c r="AD35" s="62">
        <f t="shared" si="2"/>
        <v>-0.17000000000001592</v>
      </c>
      <c r="AE35" s="62">
        <f t="shared" si="3"/>
        <v>3.1999999999982265E-2</v>
      </c>
      <c r="AF35" s="71">
        <f t="shared" si="9"/>
        <v>9.5000000000027285E-2</v>
      </c>
      <c r="AG35" s="71">
        <f t="shared" si="44"/>
        <v>-1.0555555555552272E-2</v>
      </c>
      <c r="AH35" s="45">
        <f t="shared" si="39"/>
        <v>-0.1209999999999809</v>
      </c>
      <c r="AI35" s="29">
        <f t="shared" si="40"/>
        <v>-0.10199999999997544</v>
      </c>
      <c r="AJ35" s="29">
        <f t="shared" si="41"/>
        <v>0.23999999999995225</v>
      </c>
      <c r="AK35" s="62">
        <f t="shared" si="42"/>
        <v>-0.16999999999995907</v>
      </c>
      <c r="AL35" s="62">
        <f t="shared" si="46"/>
        <v>-3.0000000000427463E-3</v>
      </c>
      <c r="AM35" s="62">
        <f t="shared" si="47"/>
        <v>3.8000000000010914E-2</v>
      </c>
      <c r="AN35" s="62">
        <f t="shared" si="5"/>
        <v>-0.125</v>
      </c>
      <c r="AO35" s="62">
        <f t="shared" si="22"/>
        <v>-3.4714285714284997E-2</v>
      </c>
      <c r="AP35" s="62">
        <f t="shared" si="7"/>
        <v>-7.4000000000012278E-2</v>
      </c>
      <c r="AQ35" s="62">
        <f t="shared" si="8"/>
        <v>2.1000000000015007E-2</v>
      </c>
      <c r="AR35"/>
    </row>
    <row r="36" spans="1:44" x14ac:dyDescent="0.25">
      <c r="A36" s="3">
        <v>143</v>
      </c>
      <c r="B36" s="60">
        <v>2282575.625</v>
      </c>
      <c r="C36" s="60">
        <v>6342236.5329999998</v>
      </c>
      <c r="D36" s="60">
        <v>1107.1969999999999</v>
      </c>
      <c r="E36" s="6" t="s">
        <v>52</v>
      </c>
      <c r="F36" s="27">
        <v>1107.318</v>
      </c>
      <c r="G36" s="27"/>
      <c r="H36" s="27"/>
      <c r="I36" s="27"/>
      <c r="J36" s="27">
        <v>1107.068</v>
      </c>
      <c r="K36" s="27">
        <v>1107.2439999999999</v>
      </c>
      <c r="L36" s="27">
        <v>1107.04</v>
      </c>
      <c r="M36" s="51">
        <v>1107.423</v>
      </c>
      <c r="N36" s="49">
        <v>1107.3</v>
      </c>
      <c r="O36" s="60">
        <v>1107.3409999999999</v>
      </c>
      <c r="P36" s="60">
        <v>1107.182</v>
      </c>
      <c r="Q36" s="60">
        <v>1107.354</v>
      </c>
      <c r="R36" s="60">
        <v>1107.26</v>
      </c>
      <c r="S36" s="60">
        <v>1107.336</v>
      </c>
      <c r="T36" s="60">
        <v>1107.056</v>
      </c>
      <c r="U36" s="60">
        <v>1107.2149999999999</v>
      </c>
      <c r="V36" s="71">
        <v>1107.1030000000001</v>
      </c>
      <c r="W36" s="71">
        <f t="shared" si="0"/>
        <v>1107.1969999999999</v>
      </c>
      <c r="X36" s="27"/>
      <c r="Y36" s="27"/>
      <c r="Z36" s="29">
        <f t="shared" si="36"/>
        <v>-2.8000000000020009E-2</v>
      </c>
      <c r="AA36" s="50">
        <f t="shared" si="37"/>
        <v>0.25999999999999091</v>
      </c>
      <c r="AB36" s="62">
        <f t="shared" si="38"/>
        <v>-0.11799999999993815</v>
      </c>
      <c r="AC36" s="62">
        <f t="shared" si="45"/>
        <v>7.7999999999974534E-2</v>
      </c>
      <c r="AD36" s="62">
        <f t="shared" si="2"/>
        <v>-0.20399999999995089</v>
      </c>
      <c r="AE36" s="62">
        <f t="shared" si="3"/>
        <v>4.7000000000025466E-2</v>
      </c>
      <c r="AF36" s="81">
        <f t="shared" si="9"/>
        <v>9.3999999999823558E-2</v>
      </c>
      <c r="AG36" s="79">
        <f>(W36-F36)/9</f>
        <v>-1.3444444444454954E-2</v>
      </c>
      <c r="AH36" s="45"/>
      <c r="AI36" s="28"/>
      <c r="AJ36" s="29">
        <f t="shared" si="41"/>
        <v>0.17900000000008731</v>
      </c>
      <c r="AK36" s="62">
        <f t="shared" si="42"/>
        <v>-8.200000000010732E-2</v>
      </c>
      <c r="AL36" s="62">
        <f t="shared" si="46"/>
        <v>1.3000000000147338E-2</v>
      </c>
      <c r="AM36" s="62">
        <f t="shared" si="47"/>
        <v>-1.8000000000029104E-2</v>
      </c>
      <c r="AN36" s="62">
        <f t="shared" si="5"/>
        <v>-0.12100000000009459</v>
      </c>
      <c r="AO36" s="61">
        <f>(U36-K36)/5</f>
        <v>-5.7999999999992728E-3</v>
      </c>
      <c r="AP36" s="62">
        <f t="shared" si="7"/>
        <v>-0.11199999999985266</v>
      </c>
      <c r="AQ36" s="62">
        <f t="shared" si="8"/>
        <v>-1.8000000000029104E-2</v>
      </c>
      <c r="AR36"/>
    </row>
    <row r="37" spans="1:44" x14ac:dyDescent="0.25">
      <c r="A37" s="3">
        <v>144</v>
      </c>
      <c r="B37" s="60">
        <v>2221992.3629999999</v>
      </c>
      <c r="C37" s="60">
        <v>6029550.8389999997</v>
      </c>
      <c r="D37" s="60">
        <v>313.99200000000002</v>
      </c>
      <c r="E37" s="6" t="s">
        <v>16</v>
      </c>
      <c r="F37" s="27">
        <v>314.29199999999997</v>
      </c>
      <c r="G37" s="27">
        <v>314.30599999999998</v>
      </c>
      <c r="H37" s="27">
        <v>314.28699999999998</v>
      </c>
      <c r="I37" s="27">
        <v>314.29300000000001</v>
      </c>
      <c r="J37" s="27">
        <v>314.142</v>
      </c>
      <c r="K37" s="27">
        <v>314.10700000000003</v>
      </c>
      <c r="L37" s="27">
        <v>314.26600000000002</v>
      </c>
      <c r="M37" s="51">
        <v>314.197</v>
      </c>
      <c r="N37" s="49">
        <v>314.14699999999999</v>
      </c>
      <c r="O37" s="64">
        <v>314.17200000000003</v>
      </c>
      <c r="P37" s="60">
        <v>314.113</v>
      </c>
      <c r="Q37" s="60">
        <v>314.14299999999997</v>
      </c>
      <c r="R37" s="60">
        <v>314.08</v>
      </c>
      <c r="S37" s="60">
        <v>314.07400000000001</v>
      </c>
      <c r="T37" s="60">
        <v>314.03899999999999</v>
      </c>
      <c r="U37" s="60">
        <v>314.089</v>
      </c>
      <c r="V37" s="71">
        <v>314.084</v>
      </c>
      <c r="W37" s="115">
        <f>D37</f>
        <v>313.99200000000002</v>
      </c>
      <c r="X37" s="27">
        <f>H37-F37</f>
        <v>-4.9999999999954525E-3</v>
      </c>
      <c r="Y37" s="27">
        <f>J37-H37</f>
        <v>-0.14499999999998181</v>
      </c>
      <c r="Z37" s="29">
        <f t="shared" si="36"/>
        <v>0.12400000000002365</v>
      </c>
      <c r="AA37" s="50">
        <f t="shared" si="37"/>
        <v>-0.11900000000002819</v>
      </c>
      <c r="AB37" s="62">
        <f t="shared" si="38"/>
        <v>-3.3999999999991815E-2</v>
      </c>
      <c r="AC37" s="62">
        <f t="shared" si="45"/>
        <v>-3.3000000000015461E-2</v>
      </c>
      <c r="AD37" s="62">
        <f t="shared" si="2"/>
        <v>-4.0999999999996817E-2</v>
      </c>
      <c r="AE37" s="62">
        <f t="shared" si="3"/>
        <v>4.5000000000015916E-2</v>
      </c>
      <c r="AF37" s="71">
        <f t="shared" si="9"/>
        <v>-9.1999999999984539E-2</v>
      </c>
      <c r="AG37" s="71">
        <f>(W37-F37)/9</f>
        <v>-3.3333333333328281E-2</v>
      </c>
      <c r="AH37" s="45">
        <f>I37-G37</f>
        <v>-1.2999999999976808E-2</v>
      </c>
      <c r="AI37" s="29">
        <f>K37-I37</f>
        <v>-0.18599999999997863</v>
      </c>
      <c r="AJ37" s="29">
        <f t="shared" si="41"/>
        <v>8.9999999999974989E-2</v>
      </c>
      <c r="AK37" s="62">
        <f t="shared" si="42"/>
        <v>-2.4999999999977263E-2</v>
      </c>
      <c r="AL37" s="62">
        <f t="shared" si="46"/>
        <v>-2.9000000000053205E-2</v>
      </c>
      <c r="AM37" s="62">
        <f t="shared" si="47"/>
        <v>-6.8999999999959982E-2</v>
      </c>
      <c r="AN37" s="62">
        <f t="shared" si="5"/>
        <v>1.4999999999986358E-2</v>
      </c>
      <c r="AO37" s="62">
        <f t="shared" si="22"/>
        <v>-3.099999999999779E-2</v>
      </c>
      <c r="AP37" s="62">
        <f t="shared" si="7"/>
        <v>-4.9999999999954525E-3</v>
      </c>
      <c r="AQ37" s="62">
        <f t="shared" si="8"/>
        <v>-9.6999999999979991E-2</v>
      </c>
      <c r="AR37"/>
    </row>
    <row r="38" spans="1:44" x14ac:dyDescent="0.25">
      <c r="A38" s="70">
        <v>145</v>
      </c>
      <c r="B38" s="60">
        <v>2199134.5830000001</v>
      </c>
      <c r="C38" s="60">
        <v>6397420.5319999997</v>
      </c>
      <c r="D38" s="60">
        <v>494.21800000000002</v>
      </c>
      <c r="E38" s="72" t="s">
        <v>17</v>
      </c>
      <c r="F38" s="27">
        <v>494.28100000000001</v>
      </c>
      <c r="G38" s="27">
        <v>494.49299999999999</v>
      </c>
      <c r="H38" s="27">
        <v>494.20499999999998</v>
      </c>
      <c r="I38" s="27">
        <v>494.39800000000002</v>
      </c>
      <c r="J38" s="27">
        <v>494.02499999999998</v>
      </c>
      <c r="K38" s="27">
        <v>494.15699999999998</v>
      </c>
      <c r="L38" s="27">
        <v>494.1</v>
      </c>
      <c r="M38" s="51">
        <v>494.42099999999999</v>
      </c>
      <c r="N38" s="49">
        <v>494.21800000000002</v>
      </c>
      <c r="O38" s="60">
        <v>494.28100000000001</v>
      </c>
      <c r="P38" s="71">
        <v>494.18200000000002</v>
      </c>
      <c r="Q38" s="60">
        <v>494.23500000000001</v>
      </c>
      <c r="R38" s="60">
        <v>494.24</v>
      </c>
      <c r="S38" s="60">
        <v>494.334</v>
      </c>
      <c r="T38" s="60">
        <v>494.10300000000001</v>
      </c>
      <c r="U38" s="60">
        <v>494.20499999999998</v>
      </c>
      <c r="V38" s="71">
        <v>494.16699999999997</v>
      </c>
      <c r="W38" s="115">
        <f t="shared" si="0"/>
        <v>494.21800000000002</v>
      </c>
      <c r="X38" s="27">
        <f>H38-F38</f>
        <v>-7.6000000000021828E-2</v>
      </c>
      <c r="Y38" s="27">
        <f>J38-H38</f>
        <v>-0.18000000000000682</v>
      </c>
      <c r="Z38" s="29">
        <f t="shared" si="36"/>
        <v>7.5000000000045475E-2</v>
      </c>
      <c r="AA38" s="50">
        <f t="shared" si="37"/>
        <v>0.117999999999995</v>
      </c>
      <c r="AB38" s="62">
        <f t="shared" si="38"/>
        <v>-3.6000000000001364E-2</v>
      </c>
      <c r="AC38" s="62">
        <f t="shared" si="45"/>
        <v>5.7999999999992724E-2</v>
      </c>
      <c r="AD38" s="62">
        <f t="shared" si="2"/>
        <v>-0.13700000000000045</v>
      </c>
      <c r="AE38" s="62">
        <f t="shared" si="3"/>
        <v>6.399999999996453E-2</v>
      </c>
      <c r="AF38" s="71">
        <f t="shared" si="9"/>
        <v>5.1000000000044565E-2</v>
      </c>
      <c r="AG38" s="71">
        <f t="shared" ref="AG38:AG52" si="48">(W38-F38)/9</f>
        <v>-6.9999999999986861E-3</v>
      </c>
      <c r="AH38" s="45">
        <f>I38-G38</f>
        <v>-9.4999999999970441E-2</v>
      </c>
      <c r="AI38" s="29">
        <f>K38-I38</f>
        <v>-0.24100000000004229</v>
      </c>
      <c r="AJ38" s="29">
        <f t="shared" si="41"/>
        <v>0.26400000000001</v>
      </c>
      <c r="AK38" s="62">
        <f t="shared" si="42"/>
        <v>-0.13999999999998636</v>
      </c>
      <c r="AL38" s="62">
        <f t="shared" si="46"/>
        <v>-4.5999999999992269E-2</v>
      </c>
      <c r="AM38" s="62">
        <f t="shared" si="47"/>
        <v>9.8999999999989541E-2</v>
      </c>
      <c r="AN38" s="62">
        <f t="shared" si="5"/>
        <v>-0.1290000000000191</v>
      </c>
      <c r="AO38" s="62">
        <f t="shared" si="22"/>
        <v>-4.1142857142858702E-2</v>
      </c>
      <c r="AP38" s="62">
        <f t="shared" si="7"/>
        <v>-3.8000000000010914E-2</v>
      </c>
      <c r="AQ38" s="62">
        <f t="shared" si="8"/>
        <v>1.3000000000033651E-2</v>
      </c>
      <c r="AR38"/>
    </row>
    <row r="39" spans="1:44" x14ac:dyDescent="0.25">
      <c r="A39" s="41">
        <v>146</v>
      </c>
      <c r="B39" s="60">
        <v>2275034.3429999999</v>
      </c>
      <c r="C39" s="60">
        <v>5961519.2869999995</v>
      </c>
      <c r="D39" s="60">
        <v>285.33999999999997</v>
      </c>
      <c r="E39" s="43" t="s">
        <v>18</v>
      </c>
      <c r="F39" s="27">
        <v>285.34399999999999</v>
      </c>
      <c r="G39" s="27">
        <v>285.33999999999997</v>
      </c>
      <c r="H39" s="27">
        <v>285.33999999999997</v>
      </c>
      <c r="I39" s="27">
        <v>285.33999999999997</v>
      </c>
      <c r="J39" s="27">
        <v>285.33999999999997</v>
      </c>
      <c r="K39" s="27">
        <v>285.33999999999997</v>
      </c>
      <c r="L39" s="27">
        <v>285.33999999999997</v>
      </c>
      <c r="M39" s="51">
        <v>285.33999999999997</v>
      </c>
      <c r="N39" s="49">
        <v>285.33999999999997</v>
      </c>
      <c r="O39" s="64">
        <v>285.33999999999997</v>
      </c>
      <c r="P39" s="71">
        <v>285.33999999999997</v>
      </c>
      <c r="Q39" s="60">
        <v>285.33999999999997</v>
      </c>
      <c r="R39" s="60">
        <v>285.33999999999997</v>
      </c>
      <c r="S39" s="60">
        <v>285.33999999999997</v>
      </c>
      <c r="T39" s="60">
        <v>285.33999999999997</v>
      </c>
      <c r="U39" s="60">
        <v>285.33999999999997</v>
      </c>
      <c r="V39" s="71">
        <v>285.33999999999997</v>
      </c>
      <c r="W39" s="115">
        <f t="shared" si="0"/>
        <v>285.33999999999997</v>
      </c>
      <c r="X39" s="27">
        <f>H39-F39</f>
        <v>-4.0000000000190994E-3</v>
      </c>
      <c r="Y39" s="27">
        <f>J39-H39</f>
        <v>0</v>
      </c>
      <c r="Z39" s="29">
        <f t="shared" si="36"/>
        <v>0</v>
      </c>
      <c r="AA39" s="50">
        <f t="shared" si="37"/>
        <v>0</v>
      </c>
      <c r="AB39" s="62">
        <f t="shared" si="38"/>
        <v>0</v>
      </c>
      <c r="AC39" s="62">
        <f t="shared" si="45"/>
        <v>0</v>
      </c>
      <c r="AD39" s="62">
        <f t="shared" si="2"/>
        <v>0</v>
      </c>
      <c r="AE39" s="62">
        <f t="shared" si="3"/>
        <v>0</v>
      </c>
      <c r="AF39" s="71">
        <f t="shared" si="9"/>
        <v>0</v>
      </c>
      <c r="AG39" s="71">
        <f t="shared" si="48"/>
        <v>-4.4444444444656657E-4</v>
      </c>
      <c r="AH39" s="45">
        <f>I39-G39</f>
        <v>0</v>
      </c>
      <c r="AI39" s="29">
        <f>K39-I39</f>
        <v>0</v>
      </c>
      <c r="AJ39" s="29">
        <f t="shared" si="41"/>
        <v>0</v>
      </c>
      <c r="AK39" s="62">
        <f t="shared" si="42"/>
        <v>0</v>
      </c>
      <c r="AL39" s="62">
        <f t="shared" si="46"/>
        <v>0</v>
      </c>
      <c r="AM39" s="62">
        <f t="shared" si="47"/>
        <v>0</v>
      </c>
      <c r="AN39" s="62">
        <f t="shared" si="5"/>
        <v>0</v>
      </c>
      <c r="AO39" s="62">
        <f t="shared" si="22"/>
        <v>0</v>
      </c>
      <c r="AP39" s="62">
        <f t="shared" si="7"/>
        <v>0</v>
      </c>
      <c r="AQ39" s="62">
        <f t="shared" si="8"/>
        <v>0</v>
      </c>
      <c r="AR39"/>
    </row>
    <row r="40" spans="1:44" x14ac:dyDescent="0.25">
      <c r="A40" s="3">
        <v>147</v>
      </c>
      <c r="B40" s="60">
        <v>2238612.338</v>
      </c>
      <c r="C40" s="60">
        <v>6104481.3880000003</v>
      </c>
      <c r="D40" s="60">
        <v>122.878</v>
      </c>
      <c r="E40" s="6" t="s">
        <v>19</v>
      </c>
      <c r="F40" s="27">
        <v>124.289</v>
      </c>
      <c r="G40" s="27">
        <v>124.197</v>
      </c>
      <c r="H40" s="27">
        <v>124.116</v>
      </c>
      <c r="I40" s="27">
        <v>124.02200000000001</v>
      </c>
      <c r="J40" s="27">
        <v>123.849</v>
      </c>
      <c r="K40" s="27">
        <v>123.873</v>
      </c>
      <c r="L40" s="27">
        <v>123.867</v>
      </c>
      <c r="M40" s="51">
        <v>123.753</v>
      </c>
      <c r="N40" s="49">
        <v>123.586</v>
      </c>
      <c r="O40" s="60">
        <v>123.61499999999999</v>
      </c>
      <c r="P40" s="60">
        <v>123.437</v>
      </c>
      <c r="Q40" s="60">
        <v>123.324</v>
      </c>
      <c r="R40" s="60">
        <v>123.33</v>
      </c>
      <c r="S40" s="60">
        <v>123.206</v>
      </c>
      <c r="T40" s="60">
        <v>123.134</v>
      </c>
      <c r="U40" s="60">
        <v>123.083</v>
      </c>
      <c r="V40" s="71">
        <v>123.027</v>
      </c>
      <c r="W40" s="115">
        <f t="shared" si="0"/>
        <v>122.878</v>
      </c>
      <c r="X40" s="27">
        <f>H40-F40</f>
        <v>-0.17300000000000182</v>
      </c>
      <c r="Y40" s="27">
        <f>J40-H40</f>
        <v>-0.26699999999999591</v>
      </c>
      <c r="Z40" s="29">
        <f t="shared" ref="Z40:Z74" si="49">L40-J40</f>
        <v>1.8000000000000682E-2</v>
      </c>
      <c r="AA40" s="50">
        <f t="shared" ref="AA40:AA74" si="50">N40-L40</f>
        <v>-0.28100000000000591</v>
      </c>
      <c r="AB40" s="62">
        <f t="shared" si="38"/>
        <v>-0.14900000000000091</v>
      </c>
      <c r="AC40" s="62">
        <f t="shared" si="45"/>
        <v>-0.10699999999999932</v>
      </c>
      <c r="AD40" s="62">
        <f t="shared" si="2"/>
        <v>-0.19599999999999795</v>
      </c>
      <c r="AE40" s="62">
        <f t="shared" si="3"/>
        <v>-0.10699999999999932</v>
      </c>
      <c r="AF40" s="71">
        <f t="shared" si="9"/>
        <v>-0.14900000000000091</v>
      </c>
      <c r="AG40" s="71">
        <f t="shared" si="48"/>
        <v>-0.15677777777777793</v>
      </c>
      <c r="AH40" s="45">
        <f>I40-G40</f>
        <v>-0.17499999999999716</v>
      </c>
      <c r="AI40" s="29">
        <f>K40-I40</f>
        <v>-0.14900000000000091</v>
      </c>
      <c r="AJ40" s="29">
        <f t="shared" ref="AJ40:AJ74" si="51">M40-K40</f>
        <v>-0.12000000000000455</v>
      </c>
      <c r="AK40" s="62">
        <f t="shared" ref="AK40:AK74" si="52">O40-M40</f>
        <v>-0.13800000000000523</v>
      </c>
      <c r="AL40" s="62">
        <f t="shared" si="46"/>
        <v>-0.29099999999999682</v>
      </c>
      <c r="AM40" s="62">
        <f t="shared" si="47"/>
        <v>-0.117999999999995</v>
      </c>
      <c r="AN40" s="62">
        <f t="shared" si="5"/>
        <v>-0.12300000000000466</v>
      </c>
      <c r="AO40" s="62">
        <f t="shared" si="22"/>
        <v>-0.15914285714285775</v>
      </c>
      <c r="AP40" s="62">
        <f t="shared" si="7"/>
        <v>-5.5999999999997385E-2</v>
      </c>
      <c r="AQ40" s="62">
        <f t="shared" si="8"/>
        <v>-0.20499999999999829</v>
      </c>
      <c r="AR40"/>
    </row>
    <row r="41" spans="1:44" x14ac:dyDescent="0.25">
      <c r="A41" s="3">
        <v>148</v>
      </c>
      <c r="B41" s="60">
        <v>2392467.4870000002</v>
      </c>
      <c r="C41" s="60">
        <v>6061625.6490000002</v>
      </c>
      <c r="D41" s="60">
        <v>134.06800000000001</v>
      </c>
      <c r="E41" s="6" t="s">
        <v>20</v>
      </c>
      <c r="F41" s="27">
        <v>134.35</v>
      </c>
      <c r="G41" s="27">
        <v>134.203</v>
      </c>
      <c r="H41" s="27">
        <v>134.21899999999999</v>
      </c>
      <c r="I41" s="27">
        <v>134.154</v>
      </c>
      <c r="J41" s="27">
        <v>133.98699999999999</v>
      </c>
      <c r="K41" s="27">
        <v>134.267</v>
      </c>
      <c r="L41" s="27">
        <v>134.26599999999999</v>
      </c>
      <c r="M41" s="51">
        <v>134.215</v>
      </c>
      <c r="N41" s="49">
        <v>134.16999999999999</v>
      </c>
      <c r="O41" s="64">
        <v>134.114</v>
      </c>
      <c r="P41" s="60">
        <v>134.178</v>
      </c>
      <c r="Q41" s="60">
        <v>134.172</v>
      </c>
      <c r="R41" s="60">
        <v>134.16</v>
      </c>
      <c r="S41" s="60">
        <v>133.99799999999999</v>
      </c>
      <c r="T41" s="60">
        <v>134.02600000000001</v>
      </c>
      <c r="U41" s="60">
        <v>134.072</v>
      </c>
      <c r="V41" s="71">
        <v>134.11000000000001</v>
      </c>
      <c r="W41" s="115">
        <f t="shared" si="0"/>
        <v>134.06800000000001</v>
      </c>
      <c r="X41" s="27">
        <f>H41-F41</f>
        <v>-0.13100000000000023</v>
      </c>
      <c r="Y41" s="27">
        <f>J41-H41</f>
        <v>-0.23199999999999932</v>
      </c>
      <c r="Z41" s="29">
        <f t="shared" si="49"/>
        <v>0.27899999999999636</v>
      </c>
      <c r="AA41" s="50">
        <f t="shared" si="50"/>
        <v>-9.6000000000003638E-2</v>
      </c>
      <c r="AB41" s="62">
        <f t="shared" si="38"/>
        <v>8.0000000000097771E-3</v>
      </c>
      <c r="AC41" s="62">
        <f t="shared" si="45"/>
        <v>-1.8000000000000682E-2</v>
      </c>
      <c r="AD41" s="62">
        <f t="shared" si="2"/>
        <v>-0.13399999999998613</v>
      </c>
      <c r="AE41" s="62">
        <f t="shared" si="3"/>
        <v>8.4000000000003183E-2</v>
      </c>
      <c r="AF41" s="71">
        <f t="shared" si="9"/>
        <v>-4.2000000000001592E-2</v>
      </c>
      <c r="AG41" s="71">
        <f t="shared" si="48"/>
        <v>-3.133333333333136E-2</v>
      </c>
      <c r="AH41" s="45">
        <f>I41-G41</f>
        <v>-4.9000000000006594E-2</v>
      </c>
      <c r="AI41" s="29">
        <f>K41-I41</f>
        <v>0.11299999999999955</v>
      </c>
      <c r="AJ41" s="29">
        <f t="shared" si="51"/>
        <v>-5.1999999999992497E-2</v>
      </c>
      <c r="AK41" s="62">
        <f t="shared" si="52"/>
        <v>-0.10099999999999909</v>
      </c>
      <c r="AL41" s="62">
        <f t="shared" si="46"/>
        <v>5.7999999999992724E-2</v>
      </c>
      <c r="AM41" s="62">
        <f t="shared" si="47"/>
        <v>-0.17400000000000659</v>
      </c>
      <c r="AN41" s="62">
        <f t="shared" si="5"/>
        <v>7.4000000000012278E-2</v>
      </c>
      <c r="AO41" s="62">
        <f t="shared" si="22"/>
        <v>-1.8714285714285746E-2</v>
      </c>
      <c r="AP41" s="62">
        <f t="shared" si="7"/>
        <v>3.8000000000010914E-2</v>
      </c>
      <c r="AQ41" s="62">
        <f t="shared" si="8"/>
        <v>-3.9999999999906777E-3</v>
      </c>
      <c r="AR41"/>
    </row>
    <row r="42" spans="1:44" x14ac:dyDescent="0.25">
      <c r="A42" s="41">
        <v>150</v>
      </c>
      <c r="B42" s="60">
        <v>2376151.6809999999</v>
      </c>
      <c r="C42" s="60">
        <v>5971948.1859999998</v>
      </c>
      <c r="D42" s="60">
        <v>97.054000000000002</v>
      </c>
      <c r="E42" s="43" t="s">
        <v>21</v>
      </c>
      <c r="F42" s="27">
        <v>97.215999999999994</v>
      </c>
      <c r="G42" s="27"/>
      <c r="H42" s="27"/>
      <c r="I42" s="27"/>
      <c r="J42" s="27">
        <v>96.983999999999995</v>
      </c>
      <c r="K42" s="27">
        <v>97.313999999999993</v>
      </c>
      <c r="L42" s="27">
        <v>97.227999999999994</v>
      </c>
      <c r="M42" s="51">
        <v>97.194000000000003</v>
      </c>
      <c r="N42" s="49">
        <v>97.156000000000006</v>
      </c>
      <c r="O42" s="60">
        <v>97.044499999999999</v>
      </c>
      <c r="P42" s="63">
        <v>97.224999999999994</v>
      </c>
      <c r="Q42" s="60">
        <v>97.266999999999996</v>
      </c>
      <c r="R42" s="60">
        <v>97.26</v>
      </c>
      <c r="S42" s="60">
        <v>96.966999999999999</v>
      </c>
      <c r="T42" s="60">
        <v>97.078000000000003</v>
      </c>
      <c r="U42" s="60">
        <v>97.088999999999999</v>
      </c>
      <c r="V42" s="71">
        <v>97.156999999999996</v>
      </c>
      <c r="W42" s="115">
        <f t="shared" si="0"/>
        <v>97.054000000000002</v>
      </c>
      <c r="X42" s="27"/>
      <c r="Y42" s="27"/>
      <c r="Z42" s="29">
        <f t="shared" si="49"/>
        <v>0.24399999999999977</v>
      </c>
      <c r="AA42" s="50">
        <f t="shared" si="50"/>
        <v>-7.1999999999988518E-2</v>
      </c>
      <c r="AB42" s="62">
        <f t="shared" si="38"/>
        <v>6.8999999999988404E-2</v>
      </c>
      <c r="AC42" s="62">
        <f t="shared" si="45"/>
        <v>3.50000000000108E-2</v>
      </c>
      <c r="AD42" s="62">
        <f t="shared" si="2"/>
        <v>-0.18200000000000216</v>
      </c>
      <c r="AE42" s="62">
        <f t="shared" si="3"/>
        <v>7.899999999999352E-2</v>
      </c>
      <c r="AF42" s="81">
        <f t="shared" si="9"/>
        <v>-0.10299999999999443</v>
      </c>
      <c r="AG42" s="79">
        <f>(W42-F42)/9</f>
        <v>-1.7999999999999104E-2</v>
      </c>
      <c r="AH42" s="45"/>
      <c r="AI42" s="28"/>
      <c r="AJ42" s="29">
        <f t="shared" si="51"/>
        <v>-0.11999999999999034</v>
      </c>
      <c r="AK42" s="62">
        <f t="shared" si="52"/>
        <v>-0.1495000000000033</v>
      </c>
      <c r="AL42" s="62">
        <f t="shared" si="46"/>
        <v>0.22249999999999659</v>
      </c>
      <c r="AM42" s="62">
        <f t="shared" si="47"/>
        <v>-0.29999999999999716</v>
      </c>
      <c r="AN42" s="62">
        <f t="shared" si="5"/>
        <v>0.12199999999999989</v>
      </c>
      <c r="AO42" s="61">
        <f>(U42-K42)/5</f>
        <v>-4.499999999999886E-2</v>
      </c>
      <c r="AP42" s="62">
        <f t="shared" si="7"/>
        <v>6.799999999999784E-2</v>
      </c>
      <c r="AQ42" s="62">
        <f t="shared" si="8"/>
        <v>-3.4999999999996589E-2</v>
      </c>
      <c r="AR42"/>
    </row>
    <row r="43" spans="1:44" x14ac:dyDescent="0.25">
      <c r="A43" s="3">
        <v>152</v>
      </c>
      <c r="B43" s="60">
        <v>2322364.1529999999</v>
      </c>
      <c r="C43" s="60">
        <v>6025789.0690000001</v>
      </c>
      <c r="D43" s="60">
        <v>83.811999999999998</v>
      </c>
      <c r="E43" s="6" t="s">
        <v>22</v>
      </c>
      <c r="F43" s="27">
        <v>84.685000000000002</v>
      </c>
      <c r="G43" s="27">
        <v>84.647000000000006</v>
      </c>
      <c r="H43" s="27">
        <v>84.623000000000005</v>
      </c>
      <c r="I43" s="27">
        <v>84.653999999999996</v>
      </c>
      <c r="J43" s="27">
        <v>84.396000000000001</v>
      </c>
      <c r="K43" s="27">
        <v>84.674000000000007</v>
      </c>
      <c r="L43" s="27">
        <v>84.606999999999999</v>
      </c>
      <c r="M43" s="51">
        <v>84.414000000000001</v>
      </c>
      <c r="N43" s="49">
        <v>84.122</v>
      </c>
      <c r="O43" s="64">
        <v>84.031999999999996</v>
      </c>
      <c r="P43" s="60">
        <v>84.055000000000007</v>
      </c>
      <c r="Q43" s="60">
        <v>84.039000000000001</v>
      </c>
      <c r="R43" s="60">
        <v>84.06</v>
      </c>
      <c r="S43" s="60">
        <v>83.91</v>
      </c>
      <c r="T43" s="60">
        <v>83.96</v>
      </c>
      <c r="U43" s="60">
        <v>84.004000000000005</v>
      </c>
      <c r="V43" s="71">
        <v>83.980999999999995</v>
      </c>
      <c r="W43" s="115">
        <f t="shared" si="0"/>
        <v>83.811999999999998</v>
      </c>
      <c r="X43" s="27">
        <f t="shared" ref="X43:X52" si="53">H43-F43</f>
        <v>-6.1999999999997613E-2</v>
      </c>
      <c r="Y43" s="27">
        <f t="shared" ref="Y43:Y52" si="54">J43-H43</f>
        <v>-0.22700000000000387</v>
      </c>
      <c r="Z43" s="29">
        <f t="shared" si="49"/>
        <v>0.21099999999999852</v>
      </c>
      <c r="AA43" s="50">
        <f t="shared" si="50"/>
        <v>-0.48499999999999943</v>
      </c>
      <c r="AB43" s="62">
        <f t="shared" si="38"/>
        <v>-6.6999999999993065E-2</v>
      </c>
      <c r="AC43" s="62">
        <f t="shared" si="45"/>
        <v>4.9999999999954525E-3</v>
      </c>
      <c r="AD43" s="62">
        <f t="shared" si="2"/>
        <v>-0.10000000000000853</v>
      </c>
      <c r="AE43" s="62">
        <f t="shared" si="3"/>
        <v>2.1000000000000796E-2</v>
      </c>
      <c r="AF43" s="71">
        <f t="shared" si="9"/>
        <v>-0.16899999999999693</v>
      </c>
      <c r="AG43" s="71">
        <f t="shared" si="48"/>
        <v>-9.7000000000000516E-2</v>
      </c>
      <c r="AH43" s="45">
        <f t="shared" ref="AH43:AH52" si="55">I43-G43</f>
        <v>6.9999999999907914E-3</v>
      </c>
      <c r="AI43" s="29">
        <f t="shared" ref="AI43:AI52" si="56">K43-I43</f>
        <v>2.0000000000010232E-2</v>
      </c>
      <c r="AJ43" s="29">
        <f t="shared" si="51"/>
        <v>-0.26000000000000512</v>
      </c>
      <c r="AK43" s="62">
        <f t="shared" si="52"/>
        <v>-0.382000000000005</v>
      </c>
      <c r="AL43" s="62">
        <f t="shared" si="46"/>
        <v>7.0000000000050022E-3</v>
      </c>
      <c r="AM43" s="62">
        <f t="shared" si="47"/>
        <v>-0.12900000000000489</v>
      </c>
      <c r="AN43" s="62">
        <f t="shared" si="5"/>
        <v>9.4000000000008299E-2</v>
      </c>
      <c r="AO43" s="62">
        <f t="shared" si="22"/>
        <v>-9.1857142857142957E-2</v>
      </c>
      <c r="AP43" s="62">
        <f t="shared" si="7"/>
        <v>-2.3000000000010346E-2</v>
      </c>
      <c r="AQ43" s="62">
        <f t="shared" si="8"/>
        <v>-0.19200000000000728</v>
      </c>
      <c r="AR43"/>
    </row>
    <row r="44" spans="1:44" x14ac:dyDescent="0.25">
      <c r="A44" s="3">
        <v>153</v>
      </c>
      <c r="B44" s="60">
        <v>2183877.318</v>
      </c>
      <c r="C44" s="60">
        <v>6142113.6619999995</v>
      </c>
      <c r="D44" s="60">
        <v>153.91999999999999</v>
      </c>
      <c r="E44" s="6" t="s">
        <v>53</v>
      </c>
      <c r="F44" s="27">
        <v>154.80000000000001</v>
      </c>
      <c r="G44" s="27">
        <v>154.779</v>
      </c>
      <c r="H44" s="27">
        <v>154.755</v>
      </c>
      <c r="I44" s="27">
        <v>154.77099999999999</v>
      </c>
      <c r="J44" s="27">
        <v>154.43199999999999</v>
      </c>
      <c r="K44" s="27">
        <v>154.47800000000001</v>
      </c>
      <c r="L44" s="27">
        <v>154.535</v>
      </c>
      <c r="M44" s="51">
        <v>154.447</v>
      </c>
      <c r="N44" s="49">
        <v>154.27000000000001</v>
      </c>
      <c r="O44" s="60">
        <v>154.38999999999999</v>
      </c>
      <c r="P44" s="60">
        <v>154.14599999999999</v>
      </c>
      <c r="Q44" s="60">
        <v>154.21</v>
      </c>
      <c r="R44" s="60">
        <v>154.16999999999999</v>
      </c>
      <c r="S44" s="60">
        <v>154.26300000000001</v>
      </c>
      <c r="T44" s="60">
        <v>154.07</v>
      </c>
      <c r="U44" s="60">
        <v>154.131</v>
      </c>
      <c r="V44" s="71">
        <v>154.02500000000001</v>
      </c>
      <c r="W44" s="115">
        <f t="shared" si="0"/>
        <v>153.91999999999999</v>
      </c>
      <c r="X44" s="27">
        <f t="shared" si="53"/>
        <v>-4.5000000000015916E-2</v>
      </c>
      <c r="Y44" s="27">
        <f t="shared" si="54"/>
        <v>-0.3230000000000075</v>
      </c>
      <c r="Z44" s="29">
        <f t="shared" si="49"/>
        <v>0.10300000000000864</v>
      </c>
      <c r="AA44" s="50">
        <f t="shared" si="50"/>
        <v>-0.26499999999998636</v>
      </c>
      <c r="AB44" s="62">
        <f t="shared" si="38"/>
        <v>-0.12400000000002365</v>
      </c>
      <c r="AC44" s="62">
        <f t="shared" si="45"/>
        <v>2.4000000000000909E-2</v>
      </c>
      <c r="AD44" s="62">
        <f t="shared" si="2"/>
        <v>-9.9999999999994316E-2</v>
      </c>
      <c r="AE44" s="62">
        <f t="shared" si="3"/>
        <v>-4.4999999999987494E-2</v>
      </c>
      <c r="AF44" s="71">
        <f t="shared" si="9"/>
        <v>-0.10500000000001819</v>
      </c>
      <c r="AG44" s="71">
        <f t="shared" si="48"/>
        <v>-9.7777777777780434E-2</v>
      </c>
      <c r="AH44" s="45">
        <f t="shared" si="55"/>
        <v>-8.0000000000097771E-3</v>
      </c>
      <c r="AI44" s="29">
        <f t="shared" si="56"/>
        <v>-0.29299999999997794</v>
      </c>
      <c r="AJ44" s="29">
        <f t="shared" si="51"/>
        <v>-3.1000000000005912E-2</v>
      </c>
      <c r="AK44" s="62">
        <f t="shared" si="52"/>
        <v>-5.7000000000016371E-2</v>
      </c>
      <c r="AL44" s="62">
        <f t="shared" si="46"/>
        <v>-0.1799999999999784</v>
      </c>
      <c r="AM44" s="62">
        <f t="shared" si="47"/>
        <v>5.2999999999997272E-2</v>
      </c>
      <c r="AN44" s="62">
        <f t="shared" si="5"/>
        <v>-0.132000000000005</v>
      </c>
      <c r="AO44" s="62">
        <f t="shared" si="22"/>
        <v>-9.2571428571428013E-2</v>
      </c>
      <c r="AP44" s="62">
        <f t="shared" si="7"/>
        <v>-0.10599999999999454</v>
      </c>
      <c r="AQ44" s="62">
        <f t="shared" si="8"/>
        <v>-0.21100000000001273</v>
      </c>
      <c r="AR44"/>
    </row>
    <row r="45" spans="1:44" x14ac:dyDescent="0.25">
      <c r="A45" s="3">
        <v>154</v>
      </c>
      <c r="B45" s="60">
        <v>2149040.2039999999</v>
      </c>
      <c r="C45" s="60">
        <v>6261382.824</v>
      </c>
      <c r="D45" s="60">
        <v>229.70400000000001</v>
      </c>
      <c r="E45" s="6" t="s">
        <v>64</v>
      </c>
      <c r="F45" s="27">
        <v>230.11099999999999</v>
      </c>
      <c r="G45" s="27">
        <v>230.08099999999999</v>
      </c>
      <c r="H45" s="27">
        <v>229.99100000000001</v>
      </c>
      <c r="I45" s="27">
        <v>230.083</v>
      </c>
      <c r="J45" s="27">
        <v>229.77600000000001</v>
      </c>
      <c r="K45" s="27">
        <v>229.80799999999999</v>
      </c>
      <c r="L45" s="27">
        <v>229.95</v>
      </c>
      <c r="M45" s="51">
        <v>229.82599999999999</v>
      </c>
      <c r="N45" s="49">
        <v>229.82599999999999</v>
      </c>
      <c r="O45" s="64">
        <v>229.80699999999999</v>
      </c>
      <c r="P45" s="60">
        <v>229.69300000000001</v>
      </c>
      <c r="Q45" s="60">
        <v>229.767</v>
      </c>
      <c r="R45" s="60">
        <v>229.72</v>
      </c>
      <c r="S45" s="60">
        <v>229.90899999999999</v>
      </c>
      <c r="T45" s="60">
        <v>229.69200000000001</v>
      </c>
      <c r="U45" s="60">
        <v>229.81100000000001</v>
      </c>
      <c r="V45" s="71">
        <v>229.666</v>
      </c>
      <c r="W45" s="115">
        <f t="shared" si="0"/>
        <v>229.70400000000001</v>
      </c>
      <c r="X45" s="27">
        <f t="shared" si="53"/>
        <v>-0.11999999999997613</v>
      </c>
      <c r="Y45" s="27">
        <f t="shared" si="54"/>
        <v>-0.21500000000000341</v>
      </c>
      <c r="Z45" s="29">
        <f t="shared" si="49"/>
        <v>0.17399999999997817</v>
      </c>
      <c r="AA45" s="50">
        <f t="shared" si="50"/>
        <v>-0.12399999999999523</v>
      </c>
      <c r="AB45" s="62">
        <f t="shared" si="38"/>
        <v>-0.13299999999998136</v>
      </c>
      <c r="AC45" s="62">
        <f t="shared" si="45"/>
        <v>2.6999999999986812E-2</v>
      </c>
      <c r="AD45" s="62">
        <f t="shared" si="2"/>
        <v>-2.7999999999991587E-2</v>
      </c>
      <c r="AE45" s="62">
        <f t="shared" si="3"/>
        <v>-2.6000000000010459E-2</v>
      </c>
      <c r="AF45" s="71">
        <f t="shared" si="9"/>
        <v>3.8000000000010914E-2</v>
      </c>
      <c r="AG45" s="71">
        <f t="shared" si="48"/>
        <v>-4.5222222222220249E-2</v>
      </c>
      <c r="AH45" s="45">
        <f t="shared" si="55"/>
        <v>2.0000000000095497E-3</v>
      </c>
      <c r="AI45" s="29">
        <f t="shared" si="56"/>
        <v>-0.27500000000000568</v>
      </c>
      <c r="AJ45" s="29">
        <f t="shared" si="51"/>
        <v>1.8000000000000682E-2</v>
      </c>
      <c r="AK45" s="62">
        <f t="shared" si="52"/>
        <v>-1.9000000000005457E-2</v>
      </c>
      <c r="AL45" s="62">
        <f t="shared" si="46"/>
        <v>-3.9999999999992042E-2</v>
      </c>
      <c r="AM45" s="62">
        <f t="shared" si="47"/>
        <v>0.14199999999999591</v>
      </c>
      <c r="AN45" s="62">
        <f t="shared" si="5"/>
        <v>-9.7999999999984766E-2</v>
      </c>
      <c r="AO45" s="62">
        <f t="shared" si="22"/>
        <v>-3.8571428571425974E-2</v>
      </c>
      <c r="AP45" s="62">
        <f t="shared" si="7"/>
        <v>-0.14500000000001023</v>
      </c>
      <c r="AQ45" s="62">
        <f t="shared" si="8"/>
        <v>-0.10699999999999932</v>
      </c>
      <c r="AR45"/>
    </row>
    <row r="46" spans="1:44" x14ac:dyDescent="0.25">
      <c r="A46" s="3">
        <v>155</v>
      </c>
      <c r="B46" s="60">
        <v>2319104.4700000002</v>
      </c>
      <c r="C46" s="60">
        <v>6078482.2609999999</v>
      </c>
      <c r="D46" s="60">
        <v>108.863</v>
      </c>
      <c r="E46" s="6" t="s">
        <v>65</v>
      </c>
      <c r="F46" s="27">
        <v>110.77</v>
      </c>
      <c r="G46" s="27">
        <v>110.717</v>
      </c>
      <c r="H46" s="27">
        <v>110.515</v>
      </c>
      <c r="I46" s="27">
        <v>110.54</v>
      </c>
      <c r="J46" s="27">
        <v>110.252</v>
      </c>
      <c r="K46" s="27">
        <v>110.268</v>
      </c>
      <c r="L46" s="27">
        <v>110.21899999999999</v>
      </c>
      <c r="M46" s="51">
        <v>109.815</v>
      </c>
      <c r="N46" s="49">
        <v>109.66500000000001</v>
      </c>
      <c r="O46" s="60">
        <v>109.53</v>
      </c>
      <c r="P46" s="60">
        <v>109.383</v>
      </c>
      <c r="Q46" s="60">
        <v>109.399</v>
      </c>
      <c r="R46" s="60">
        <v>109.43</v>
      </c>
      <c r="S46" s="60">
        <v>109.164</v>
      </c>
      <c r="T46" s="60">
        <v>109.17</v>
      </c>
      <c r="U46" s="60">
        <v>109.16200000000001</v>
      </c>
      <c r="V46" s="71">
        <v>109.039</v>
      </c>
      <c r="W46" s="115">
        <f t="shared" si="0"/>
        <v>108.863</v>
      </c>
      <c r="X46" s="27">
        <f t="shared" si="53"/>
        <v>-0.25499999999999545</v>
      </c>
      <c r="Y46" s="27">
        <f t="shared" si="54"/>
        <v>-0.26300000000000523</v>
      </c>
      <c r="Z46" s="29">
        <f t="shared" si="49"/>
        <v>-3.3000000000001251E-2</v>
      </c>
      <c r="AA46" s="50">
        <f t="shared" si="50"/>
        <v>-0.55399999999998784</v>
      </c>
      <c r="AB46" s="62">
        <f t="shared" si="38"/>
        <v>-0.28200000000001069</v>
      </c>
      <c r="AC46" s="62">
        <f t="shared" si="45"/>
        <v>4.7000000000011255E-2</v>
      </c>
      <c r="AD46" s="62">
        <f t="shared" si="2"/>
        <v>-0.26000000000000512</v>
      </c>
      <c r="AE46" s="62">
        <f t="shared" si="3"/>
        <v>-0.13100000000000023</v>
      </c>
      <c r="AF46" s="71">
        <f t="shared" si="9"/>
        <v>-0.17600000000000193</v>
      </c>
      <c r="AG46" s="71">
        <f t="shared" si="48"/>
        <v>-0.21188888888888849</v>
      </c>
      <c r="AH46" s="45">
        <f t="shared" si="55"/>
        <v>-0.1769999999999925</v>
      </c>
      <c r="AI46" s="29">
        <f t="shared" si="56"/>
        <v>-0.27200000000000557</v>
      </c>
      <c r="AJ46" s="29">
        <f t="shared" si="51"/>
        <v>-0.45300000000000296</v>
      </c>
      <c r="AK46" s="62">
        <f t="shared" si="52"/>
        <v>-0.28499999999999659</v>
      </c>
      <c r="AL46" s="62">
        <f t="shared" si="46"/>
        <v>-0.13100000000000023</v>
      </c>
      <c r="AM46" s="62">
        <f t="shared" si="47"/>
        <v>-0.23499999999999943</v>
      </c>
      <c r="AN46" s="62">
        <f t="shared" si="5"/>
        <v>-1.9999999999953388E-3</v>
      </c>
      <c r="AO46" s="62">
        <f t="shared" si="22"/>
        <v>-0.22214285714285609</v>
      </c>
      <c r="AP46" s="62">
        <f t="shared" si="7"/>
        <v>-0.12300000000000466</v>
      </c>
      <c r="AQ46" s="62">
        <f t="shared" si="8"/>
        <v>-0.29900000000000659</v>
      </c>
      <c r="AR46"/>
    </row>
    <row r="47" spans="1:44" x14ac:dyDescent="0.25">
      <c r="A47" s="3">
        <v>156</v>
      </c>
      <c r="B47" s="60">
        <v>2292292.0079999999</v>
      </c>
      <c r="C47" s="60">
        <v>6098548.6629999997</v>
      </c>
      <c r="D47" s="60">
        <v>110.575</v>
      </c>
      <c r="E47" s="6" t="s">
        <v>66</v>
      </c>
      <c r="F47" s="27">
        <v>113.60299999999999</v>
      </c>
      <c r="G47" s="27">
        <v>113.241</v>
      </c>
      <c r="H47" s="27">
        <v>113.04900000000001</v>
      </c>
      <c r="I47" s="27">
        <v>112.702</v>
      </c>
      <c r="J47" s="27">
        <v>112.417</v>
      </c>
      <c r="K47" s="27">
        <v>112.2</v>
      </c>
      <c r="L47" s="27">
        <v>112.181</v>
      </c>
      <c r="M47" s="51">
        <v>111.756</v>
      </c>
      <c r="N47" s="49">
        <v>111.536</v>
      </c>
      <c r="O47" s="64">
        <v>111.307</v>
      </c>
      <c r="P47" s="60">
        <v>111.217</v>
      </c>
      <c r="Q47" s="60">
        <v>111.205</v>
      </c>
      <c r="R47" s="60">
        <v>111.24</v>
      </c>
      <c r="S47" s="60">
        <v>110.89100000000001</v>
      </c>
      <c r="T47" s="60">
        <v>110.87</v>
      </c>
      <c r="U47" s="60">
        <v>110.881</v>
      </c>
      <c r="V47" s="71">
        <v>110.8</v>
      </c>
      <c r="W47" s="115">
        <f t="shared" si="0"/>
        <v>110.575</v>
      </c>
      <c r="X47" s="27">
        <f t="shared" si="53"/>
        <v>-0.55399999999998784</v>
      </c>
      <c r="Y47" s="27">
        <f t="shared" si="54"/>
        <v>-0.632000000000005</v>
      </c>
      <c r="Z47" s="29">
        <f t="shared" si="49"/>
        <v>-0.23600000000000421</v>
      </c>
      <c r="AA47" s="50">
        <f t="shared" si="50"/>
        <v>-0.64499999999999602</v>
      </c>
      <c r="AB47" s="62">
        <f t="shared" si="38"/>
        <v>-0.31900000000000261</v>
      </c>
      <c r="AC47" s="62">
        <f t="shared" si="45"/>
        <v>2.2999999999996135E-2</v>
      </c>
      <c r="AD47" s="62">
        <f t="shared" si="2"/>
        <v>-0.36999999999999034</v>
      </c>
      <c r="AE47" s="62">
        <f t="shared" si="3"/>
        <v>-7.000000000000739E-2</v>
      </c>
      <c r="AF47" s="71">
        <f t="shared" si="9"/>
        <v>-0.22499999999999432</v>
      </c>
      <c r="AG47" s="71">
        <f t="shared" si="48"/>
        <v>-0.33644444444444349</v>
      </c>
      <c r="AH47" s="45">
        <f t="shared" si="55"/>
        <v>-0.53900000000000148</v>
      </c>
      <c r="AI47" s="29">
        <f t="shared" si="56"/>
        <v>-0.50199999999999534</v>
      </c>
      <c r="AJ47" s="29">
        <f t="shared" si="51"/>
        <v>-0.44400000000000261</v>
      </c>
      <c r="AK47" s="62">
        <f t="shared" si="52"/>
        <v>-0.44899999999999807</v>
      </c>
      <c r="AL47" s="62">
        <f t="shared" si="46"/>
        <v>-0.10200000000000387</v>
      </c>
      <c r="AM47" s="62">
        <f t="shared" si="47"/>
        <v>-0.31399999999999295</v>
      </c>
      <c r="AN47" s="62">
        <f t="shared" si="5"/>
        <v>-1.0000000000005116E-2</v>
      </c>
      <c r="AO47" s="62">
        <f t="shared" si="22"/>
        <v>-0.33714285714285708</v>
      </c>
      <c r="AP47" s="62">
        <f t="shared" si="7"/>
        <v>-8.100000000000307E-2</v>
      </c>
      <c r="AQ47" s="62">
        <f t="shared" si="8"/>
        <v>-0.30599999999999739</v>
      </c>
      <c r="AR47"/>
    </row>
    <row r="48" spans="1:44" x14ac:dyDescent="0.25">
      <c r="A48" s="3">
        <v>157</v>
      </c>
      <c r="B48" s="60">
        <v>2263167.6290000002</v>
      </c>
      <c r="C48" s="60">
        <v>6102759.1299999999</v>
      </c>
      <c r="D48" s="60">
        <v>113.116</v>
      </c>
      <c r="E48" s="6" t="s">
        <v>67</v>
      </c>
      <c r="F48" s="27">
        <v>114.93600000000001</v>
      </c>
      <c r="G48" s="27">
        <v>114.879</v>
      </c>
      <c r="H48" s="27">
        <v>114.754</v>
      </c>
      <c r="I48" s="27">
        <v>114.66</v>
      </c>
      <c r="J48" s="27">
        <v>114.402</v>
      </c>
      <c r="K48" s="27">
        <v>114.38800000000001</v>
      </c>
      <c r="L48" s="27">
        <v>114.374</v>
      </c>
      <c r="M48" s="51">
        <v>114.214</v>
      </c>
      <c r="N48" s="49">
        <v>113.99299999999999</v>
      </c>
      <c r="O48" s="60">
        <v>113.971</v>
      </c>
      <c r="P48" s="60">
        <v>113.76900000000001</v>
      </c>
      <c r="Q48" s="60">
        <v>113.655</v>
      </c>
      <c r="R48" s="60">
        <v>113.65</v>
      </c>
      <c r="S48" s="60">
        <v>113.52500000000001</v>
      </c>
      <c r="T48" s="60">
        <v>113.417</v>
      </c>
      <c r="U48" s="60">
        <v>113.357</v>
      </c>
      <c r="V48" s="71">
        <v>113.28</v>
      </c>
      <c r="W48" s="115">
        <f t="shared" si="0"/>
        <v>113.116</v>
      </c>
      <c r="X48" s="27">
        <f t="shared" si="53"/>
        <v>-0.18200000000000216</v>
      </c>
      <c r="Y48" s="27">
        <f t="shared" si="54"/>
        <v>-0.35200000000000387</v>
      </c>
      <c r="Z48" s="29">
        <f t="shared" si="49"/>
        <v>-2.8000000000005798E-2</v>
      </c>
      <c r="AA48" s="50">
        <f t="shared" si="50"/>
        <v>-0.38100000000000023</v>
      </c>
      <c r="AB48" s="62">
        <f t="shared" si="38"/>
        <v>-0.22399999999998954</v>
      </c>
      <c r="AC48" s="62">
        <f t="shared" si="45"/>
        <v>-0.11899999999999977</v>
      </c>
      <c r="AD48" s="62">
        <f t="shared" si="2"/>
        <v>-0.23300000000000409</v>
      </c>
      <c r="AE48" s="62">
        <f t="shared" si="3"/>
        <v>-0.13700000000000045</v>
      </c>
      <c r="AF48" s="71">
        <f t="shared" si="9"/>
        <v>-0.16400000000000148</v>
      </c>
      <c r="AG48" s="71">
        <f t="shared" si="48"/>
        <v>-0.20222222222222305</v>
      </c>
      <c r="AH48" s="45">
        <f t="shared" si="55"/>
        <v>-0.2190000000000083</v>
      </c>
      <c r="AI48" s="29">
        <f t="shared" si="56"/>
        <v>-0.27199999999999136</v>
      </c>
      <c r="AJ48" s="29">
        <f t="shared" si="51"/>
        <v>-0.17400000000000659</v>
      </c>
      <c r="AK48" s="62">
        <f t="shared" si="52"/>
        <v>-0.242999999999995</v>
      </c>
      <c r="AL48" s="62">
        <f t="shared" si="46"/>
        <v>-0.3160000000000025</v>
      </c>
      <c r="AM48" s="62">
        <f t="shared" si="47"/>
        <v>-0.12999999999999545</v>
      </c>
      <c r="AN48" s="62">
        <f t="shared" si="5"/>
        <v>-0.16800000000000637</v>
      </c>
      <c r="AO48" s="62">
        <f t="shared" si="22"/>
        <v>-0.21742857142857222</v>
      </c>
      <c r="AP48" s="62">
        <f t="shared" si="7"/>
        <v>-7.6999999999998181E-2</v>
      </c>
      <c r="AQ48" s="62">
        <f t="shared" si="8"/>
        <v>-0.24099999999999966</v>
      </c>
      <c r="AR48"/>
    </row>
    <row r="49" spans="1:44" x14ac:dyDescent="0.25">
      <c r="A49" s="3">
        <v>158</v>
      </c>
      <c r="B49" s="60">
        <v>2198310.2119999998</v>
      </c>
      <c r="C49" s="60">
        <v>6154769.0080000004</v>
      </c>
      <c r="D49" s="60">
        <v>149.24299999999999</v>
      </c>
      <c r="E49" s="6" t="s">
        <v>68</v>
      </c>
      <c r="F49" s="27">
        <v>150.79400000000001</v>
      </c>
      <c r="G49" s="27">
        <v>150.71899999999999</v>
      </c>
      <c r="H49" s="27">
        <v>150.72</v>
      </c>
      <c r="I49" s="27">
        <v>150.69300000000001</v>
      </c>
      <c r="J49" s="27">
        <v>150.35</v>
      </c>
      <c r="K49" s="27">
        <v>150.328</v>
      </c>
      <c r="L49" s="27">
        <v>150.34100000000001</v>
      </c>
      <c r="M49" s="51">
        <v>150.16200000000001</v>
      </c>
      <c r="N49" s="49">
        <v>150.006</v>
      </c>
      <c r="O49" s="64">
        <v>150.08000000000001</v>
      </c>
      <c r="P49" s="60">
        <v>149.77500000000001</v>
      </c>
      <c r="Q49" s="60">
        <v>149.70400000000001</v>
      </c>
      <c r="R49" s="60">
        <v>149.72</v>
      </c>
      <c r="S49" s="60">
        <v>149.74</v>
      </c>
      <c r="T49" s="60">
        <v>149.523</v>
      </c>
      <c r="U49" s="60">
        <v>149.518</v>
      </c>
      <c r="V49" s="71">
        <v>149.4</v>
      </c>
      <c r="W49" s="115">
        <f t="shared" si="0"/>
        <v>149.24299999999999</v>
      </c>
      <c r="X49" s="27">
        <f t="shared" si="53"/>
        <v>-7.4000000000012278E-2</v>
      </c>
      <c r="Y49" s="27">
        <f t="shared" si="54"/>
        <v>-0.37000000000000455</v>
      </c>
      <c r="Z49" s="29">
        <f t="shared" si="49"/>
        <v>-8.9999999999861302E-3</v>
      </c>
      <c r="AA49" s="50">
        <f t="shared" si="50"/>
        <v>-0.33500000000000796</v>
      </c>
      <c r="AB49" s="62">
        <f t="shared" si="38"/>
        <v>-0.23099999999999454</v>
      </c>
      <c r="AC49" s="62">
        <f t="shared" si="45"/>
        <v>-5.5000000000006821E-2</v>
      </c>
      <c r="AD49" s="62">
        <f t="shared" si="2"/>
        <v>-0.19700000000000273</v>
      </c>
      <c r="AE49" s="62">
        <f t="shared" si="3"/>
        <v>-0.12299999999999045</v>
      </c>
      <c r="AF49" s="71">
        <f t="shared" si="9"/>
        <v>-0.15700000000001069</v>
      </c>
      <c r="AG49" s="71">
        <f t="shared" si="48"/>
        <v>-0.17233333333333511</v>
      </c>
      <c r="AH49" s="45">
        <f t="shared" si="55"/>
        <v>-2.5999999999982037E-2</v>
      </c>
      <c r="AI49" s="29">
        <f t="shared" si="56"/>
        <v>-0.36500000000000909</v>
      </c>
      <c r="AJ49" s="29">
        <f t="shared" si="51"/>
        <v>-0.16599999999999682</v>
      </c>
      <c r="AK49" s="62">
        <f t="shared" si="52"/>
        <v>-8.1999999999993634E-2</v>
      </c>
      <c r="AL49" s="62">
        <f t="shared" si="46"/>
        <v>-0.37600000000000477</v>
      </c>
      <c r="AM49" s="62">
        <f t="shared" si="47"/>
        <v>3.6000000000001364E-2</v>
      </c>
      <c r="AN49" s="62">
        <f t="shared" si="5"/>
        <v>-0.22200000000000841</v>
      </c>
      <c r="AO49" s="62">
        <f t="shared" si="22"/>
        <v>-0.17157142857142763</v>
      </c>
      <c r="AP49" s="62">
        <f t="shared" si="7"/>
        <v>-0.117999999999995</v>
      </c>
      <c r="AQ49" s="62">
        <f t="shared" si="8"/>
        <v>-0.27500000000000568</v>
      </c>
      <c r="AR49"/>
    </row>
    <row r="50" spans="1:44" x14ac:dyDescent="0.25">
      <c r="A50" s="3">
        <v>159</v>
      </c>
      <c r="B50" s="60">
        <v>2186287.8050000002</v>
      </c>
      <c r="C50" s="60">
        <v>6159874.9960000003</v>
      </c>
      <c r="D50" s="60">
        <v>150.74</v>
      </c>
      <c r="E50" s="6" t="s">
        <v>23</v>
      </c>
      <c r="F50" s="27">
        <v>151.85499999999999</v>
      </c>
      <c r="G50" s="27">
        <v>151.79900000000001</v>
      </c>
      <c r="H50" s="27">
        <v>151.80799999999999</v>
      </c>
      <c r="I50" s="27">
        <v>151.79</v>
      </c>
      <c r="J50" s="27">
        <v>151.46799999999999</v>
      </c>
      <c r="K50" s="27">
        <v>151.465</v>
      </c>
      <c r="L50" s="27">
        <v>151.51</v>
      </c>
      <c r="M50" s="51">
        <v>151.417</v>
      </c>
      <c r="N50" s="49">
        <v>151.214</v>
      </c>
      <c r="O50" s="60">
        <v>151.33500000000001</v>
      </c>
      <c r="P50" s="60">
        <v>151.04</v>
      </c>
      <c r="Q50" s="60">
        <v>151.06</v>
      </c>
      <c r="R50" s="60">
        <v>151.06</v>
      </c>
      <c r="S50" s="60">
        <v>151.11799999999999</v>
      </c>
      <c r="T50" s="60">
        <v>150.91800000000001</v>
      </c>
      <c r="U50" s="60">
        <v>150.93600000000001</v>
      </c>
      <c r="V50" s="71">
        <v>150.82599999999999</v>
      </c>
      <c r="W50" s="115">
        <f t="shared" si="0"/>
        <v>150.74</v>
      </c>
      <c r="X50" s="27">
        <f t="shared" si="53"/>
        <v>-4.6999999999997044E-2</v>
      </c>
      <c r="Y50" s="27">
        <f t="shared" si="54"/>
        <v>-0.34000000000000341</v>
      </c>
      <c r="Z50" s="29">
        <f t="shared" si="49"/>
        <v>4.2000000000001592E-2</v>
      </c>
      <c r="AA50" s="50">
        <f t="shared" si="50"/>
        <v>-0.29599999999999227</v>
      </c>
      <c r="AB50" s="62">
        <f t="shared" si="38"/>
        <v>-0.17400000000000659</v>
      </c>
      <c r="AC50" s="62">
        <f t="shared" si="45"/>
        <v>2.0000000000010232E-2</v>
      </c>
      <c r="AD50" s="62">
        <f t="shared" si="2"/>
        <v>-0.14199999999999591</v>
      </c>
      <c r="AE50" s="62">
        <f t="shared" si="3"/>
        <v>-9.200000000001296E-2</v>
      </c>
      <c r="AF50" s="71">
        <f t="shared" si="9"/>
        <v>-8.5999999999984311E-2</v>
      </c>
      <c r="AG50" s="71">
        <f t="shared" si="48"/>
        <v>-0.12388888888888674</v>
      </c>
      <c r="AH50" s="45">
        <f t="shared" si="55"/>
        <v>-9.0000000000145519E-3</v>
      </c>
      <c r="AI50" s="29">
        <f t="shared" si="56"/>
        <v>-0.32499999999998863</v>
      </c>
      <c r="AJ50" s="29">
        <f t="shared" si="51"/>
        <v>-4.8000000000001819E-2</v>
      </c>
      <c r="AK50" s="62">
        <f t="shared" si="52"/>
        <v>-8.1999999999993634E-2</v>
      </c>
      <c r="AL50" s="62">
        <f t="shared" si="46"/>
        <v>-0.27500000000000568</v>
      </c>
      <c r="AM50" s="62">
        <f t="shared" si="47"/>
        <v>5.7999999999992724E-2</v>
      </c>
      <c r="AN50" s="62">
        <f t="shared" si="5"/>
        <v>-0.18199999999998795</v>
      </c>
      <c r="AO50" s="62">
        <f t="shared" si="22"/>
        <v>-0.12328571428571422</v>
      </c>
      <c r="AP50" s="62">
        <f t="shared" si="7"/>
        <v>-0.11000000000001364</v>
      </c>
      <c r="AQ50" s="62">
        <f t="shared" si="8"/>
        <v>-0.19599999999999795</v>
      </c>
      <c r="AR50"/>
    </row>
    <row r="51" spans="1:44" x14ac:dyDescent="0.25">
      <c r="A51" s="14" t="s">
        <v>95</v>
      </c>
      <c r="B51" s="100">
        <v>2184391.4350000001</v>
      </c>
      <c r="C51" s="100">
        <v>6227465.3480000002</v>
      </c>
      <c r="D51" s="100">
        <v>215.328</v>
      </c>
      <c r="E51" s="15" t="s">
        <v>69</v>
      </c>
      <c r="F51" s="27">
        <v>214.505</v>
      </c>
      <c r="G51" s="27">
        <v>214.459</v>
      </c>
      <c r="H51" s="27">
        <v>214.387</v>
      </c>
      <c r="I51" s="27">
        <v>214.44300000000001</v>
      </c>
      <c r="J51" s="27">
        <v>214.08699999999999</v>
      </c>
      <c r="K51" s="27">
        <v>214.03299999999999</v>
      </c>
      <c r="L51" s="30">
        <v>214.06799999999998</v>
      </c>
      <c r="M51" s="51">
        <v>214.03</v>
      </c>
      <c r="N51" s="49">
        <v>213.88899999999998</v>
      </c>
      <c r="O51" s="63">
        <v>213.88199999999998</v>
      </c>
      <c r="P51" s="79">
        <f>215.439-1.663</f>
        <v>213.77599999999998</v>
      </c>
      <c r="Q51" s="60">
        <f>215.457-1.663</f>
        <v>213.79399999999998</v>
      </c>
      <c r="R51" s="60">
        <f>215.43-1.663</f>
        <v>213.767</v>
      </c>
      <c r="S51" s="60">
        <f>215.509-1.663</f>
        <v>213.84599999999998</v>
      </c>
      <c r="T51" s="60">
        <f>215.306-1.663</f>
        <v>213.643</v>
      </c>
      <c r="U51" s="60">
        <f>215.4-1.663</f>
        <v>213.73699999999999</v>
      </c>
      <c r="V51" s="71">
        <f>215.302-1.663</f>
        <v>213.63899999999998</v>
      </c>
      <c r="W51" s="115">
        <f>D51-1.663</f>
        <v>213.66499999999999</v>
      </c>
      <c r="X51" s="27">
        <f t="shared" si="53"/>
        <v>-0.117999999999995</v>
      </c>
      <c r="Y51" s="27">
        <f t="shared" si="54"/>
        <v>-0.30000000000001137</v>
      </c>
      <c r="Z51" s="29">
        <f t="shared" si="49"/>
        <v>-1.9000000000005457E-2</v>
      </c>
      <c r="AA51" s="50">
        <f t="shared" si="50"/>
        <v>-0.17900000000000205</v>
      </c>
      <c r="AB51" s="62">
        <f t="shared" si="38"/>
        <v>-0.11299999999999955</v>
      </c>
      <c r="AC51" s="62">
        <f t="shared" si="45"/>
        <v>-8.9999999999861302E-3</v>
      </c>
      <c r="AD51" s="62">
        <f t="shared" si="2"/>
        <v>-0.12399999999999523</v>
      </c>
      <c r="AE51" s="62">
        <f t="shared" si="3"/>
        <v>-4.0000000000190994E-3</v>
      </c>
      <c r="AF51" s="71">
        <f t="shared" si="9"/>
        <v>2.6000000000010459E-2</v>
      </c>
      <c r="AG51" s="71">
        <f t="shared" si="48"/>
        <v>-9.3333333333333712E-2</v>
      </c>
      <c r="AH51" s="45">
        <f t="shared" si="55"/>
        <v>-1.5999999999991132E-2</v>
      </c>
      <c r="AI51" s="29">
        <f t="shared" si="56"/>
        <v>-0.41000000000002501</v>
      </c>
      <c r="AJ51" s="29">
        <f t="shared" si="51"/>
        <v>-2.9999999999859028E-3</v>
      </c>
      <c r="AK51" s="62">
        <f t="shared" si="52"/>
        <v>-0.14800000000002456</v>
      </c>
      <c r="AL51" s="62">
        <f t="shared" si="46"/>
        <v>-8.7999999999993861E-2</v>
      </c>
      <c r="AM51" s="62">
        <f t="shared" si="47"/>
        <v>5.1999999999992497E-2</v>
      </c>
      <c r="AN51" s="62">
        <f t="shared" si="5"/>
        <v>-0.10899999999998045</v>
      </c>
      <c r="AO51" s="62">
        <f t="shared" si="22"/>
        <v>-0.10314285714285834</v>
      </c>
      <c r="AP51" s="62">
        <f t="shared" si="7"/>
        <v>-9.8000000000013188E-2</v>
      </c>
      <c r="AQ51" s="62">
        <f t="shared" si="8"/>
        <v>-7.2000000000002728E-2</v>
      </c>
      <c r="AR51"/>
    </row>
    <row r="52" spans="1:44" x14ac:dyDescent="0.25">
      <c r="A52" s="3">
        <v>162</v>
      </c>
      <c r="B52" s="60">
        <v>2284179.4350000001</v>
      </c>
      <c r="C52" s="60">
        <v>6121191.4390000002</v>
      </c>
      <c r="D52" s="60">
        <v>119.057</v>
      </c>
      <c r="E52" s="6" t="s">
        <v>24</v>
      </c>
      <c r="F52" s="27">
        <v>122.021</v>
      </c>
      <c r="G52" s="27">
        <v>121.717</v>
      </c>
      <c r="H52" s="27">
        <v>121.54600000000001</v>
      </c>
      <c r="I52" s="27">
        <v>121.07899999999999</v>
      </c>
      <c r="J52" s="27">
        <v>120.776</v>
      </c>
      <c r="K52" s="27">
        <v>120.56</v>
      </c>
      <c r="L52" s="27">
        <v>120.566</v>
      </c>
      <c r="M52" s="51">
        <v>120.05500000000001</v>
      </c>
      <c r="N52" s="49">
        <v>119.92400000000001</v>
      </c>
      <c r="O52" s="60">
        <v>119.80800000000001</v>
      </c>
      <c r="P52" s="60">
        <v>119.64100000000001</v>
      </c>
      <c r="Q52" s="60">
        <v>119.554</v>
      </c>
      <c r="R52" s="60">
        <v>119.6</v>
      </c>
      <c r="S52" s="60">
        <v>119.428</v>
      </c>
      <c r="T52" s="60">
        <v>119.361</v>
      </c>
      <c r="U52" s="60">
        <v>119.29900000000001</v>
      </c>
      <c r="V52" s="71">
        <v>119.26600000000001</v>
      </c>
      <c r="W52" s="115">
        <f t="shared" si="0"/>
        <v>119.057</v>
      </c>
      <c r="X52" s="27">
        <f t="shared" si="53"/>
        <v>-0.47499999999999432</v>
      </c>
      <c r="Y52" s="27">
        <f t="shared" si="54"/>
        <v>-0.77000000000001023</v>
      </c>
      <c r="Z52" s="29">
        <f t="shared" si="49"/>
        <v>-0.20999999999999375</v>
      </c>
      <c r="AA52" s="50">
        <f t="shared" si="50"/>
        <v>-0.64199999999999591</v>
      </c>
      <c r="AB52" s="62">
        <f t="shared" si="38"/>
        <v>-0.28300000000000125</v>
      </c>
      <c r="AC52" s="62">
        <f t="shared" si="45"/>
        <v>-4.1000000000011028E-2</v>
      </c>
      <c r="AD52" s="62">
        <f t="shared" si="2"/>
        <v>-0.23899999999999011</v>
      </c>
      <c r="AE52" s="62">
        <f t="shared" si="3"/>
        <v>-9.4999999999998863E-2</v>
      </c>
      <c r="AF52" s="71">
        <f t="shared" si="9"/>
        <v>-0.20900000000000318</v>
      </c>
      <c r="AG52" s="71">
        <f t="shared" si="48"/>
        <v>-0.3293333333333332</v>
      </c>
      <c r="AH52" s="45">
        <f t="shared" si="55"/>
        <v>-0.63800000000000523</v>
      </c>
      <c r="AI52" s="29">
        <f t="shared" si="56"/>
        <v>-0.51899999999999125</v>
      </c>
      <c r="AJ52" s="29">
        <f t="shared" si="51"/>
        <v>-0.50499999999999545</v>
      </c>
      <c r="AK52" s="62">
        <f t="shared" si="52"/>
        <v>-0.24699999999999989</v>
      </c>
      <c r="AL52" s="62">
        <f t="shared" si="46"/>
        <v>-0.25400000000000489</v>
      </c>
      <c r="AM52" s="62">
        <f t="shared" si="47"/>
        <v>-0.12600000000000477</v>
      </c>
      <c r="AN52" s="62">
        <f t="shared" si="5"/>
        <v>-0.12899999999999068</v>
      </c>
      <c r="AO52" s="62">
        <f t="shared" si="22"/>
        <v>-0.34542857142857031</v>
      </c>
      <c r="AP52" s="62">
        <f t="shared" si="7"/>
        <v>-3.3000000000001251E-2</v>
      </c>
      <c r="AQ52" s="62">
        <f t="shared" si="8"/>
        <v>-0.24200000000000443</v>
      </c>
      <c r="AR52"/>
    </row>
    <row r="53" spans="1:44" s="58" customFormat="1" x14ac:dyDescent="0.25">
      <c r="A53" s="3">
        <v>165</v>
      </c>
      <c r="B53" s="60">
        <v>2210796.6690000002</v>
      </c>
      <c r="C53" s="60">
        <v>6330511.5690000001</v>
      </c>
      <c r="D53" s="60">
        <v>372.685</v>
      </c>
      <c r="E53" s="6" t="s">
        <v>99</v>
      </c>
      <c r="F53" s="60"/>
      <c r="G53" s="60"/>
      <c r="H53" s="60"/>
      <c r="I53" s="60"/>
      <c r="J53" s="60"/>
      <c r="K53" s="60"/>
      <c r="L53" s="60"/>
      <c r="M53" s="64"/>
      <c r="N53" s="60"/>
      <c r="O53" s="64"/>
      <c r="P53" s="60"/>
      <c r="Q53" s="60"/>
      <c r="R53" s="60">
        <v>372.86</v>
      </c>
      <c r="S53" s="60">
        <v>372.89499999999998</v>
      </c>
      <c r="T53" s="60">
        <v>372.66500000000002</v>
      </c>
      <c r="U53" s="60">
        <v>372.81200000000001</v>
      </c>
      <c r="V53" s="71">
        <v>372.69400000000002</v>
      </c>
      <c r="W53" s="115">
        <f t="shared" si="0"/>
        <v>372.685</v>
      </c>
      <c r="X53" s="60"/>
      <c r="Y53" s="60"/>
      <c r="Z53" s="62"/>
      <c r="AA53" s="62"/>
      <c r="AB53" s="62"/>
      <c r="AC53" s="62" t="s">
        <v>100</v>
      </c>
      <c r="AD53" s="62">
        <f t="shared" si="2"/>
        <v>-0.19499999999999318</v>
      </c>
      <c r="AE53" s="62">
        <f t="shared" si="3"/>
        <v>2.8999999999996362E-2</v>
      </c>
      <c r="AF53" s="81">
        <f t="shared" si="9"/>
        <v>-9.0000000000145519E-3</v>
      </c>
      <c r="AG53" s="81">
        <f>(W53-R53)/3</f>
        <v>-5.8333333333337123E-2</v>
      </c>
      <c r="AH53" s="45"/>
      <c r="AI53" s="62"/>
      <c r="AJ53" s="62"/>
      <c r="AK53" s="62"/>
      <c r="AL53" s="62"/>
      <c r="AM53" s="62"/>
      <c r="AN53" s="62">
        <f t="shared" si="5"/>
        <v>-8.2999999999969987E-2</v>
      </c>
      <c r="AO53" s="62"/>
      <c r="AP53" s="62">
        <f t="shared" si="7"/>
        <v>-0.117999999999995</v>
      </c>
      <c r="AQ53" s="62">
        <f t="shared" si="8"/>
        <v>-0.12700000000000955</v>
      </c>
    </row>
    <row r="54" spans="1:44" x14ac:dyDescent="0.25">
      <c r="A54" s="3">
        <v>170</v>
      </c>
      <c r="B54" s="60">
        <v>2335285.398</v>
      </c>
      <c r="C54" s="60">
        <v>6066326.9519999996</v>
      </c>
      <c r="D54" s="60">
        <v>97.6</v>
      </c>
      <c r="E54" s="6" t="s">
        <v>70</v>
      </c>
      <c r="F54" s="27"/>
      <c r="G54" s="27"/>
      <c r="H54" s="27"/>
      <c r="I54" s="27"/>
      <c r="J54" s="27">
        <v>98.338999999999999</v>
      </c>
      <c r="K54" s="27">
        <v>98.378</v>
      </c>
      <c r="L54" s="27">
        <v>98.266000000000005</v>
      </c>
      <c r="M54" s="51">
        <v>98.063999999999993</v>
      </c>
      <c r="N54" s="49">
        <v>97.944999999999993</v>
      </c>
      <c r="O54" s="64">
        <v>97.888000000000005</v>
      </c>
      <c r="P54" s="60">
        <v>97.837999999999994</v>
      </c>
      <c r="Q54" s="60">
        <v>97.897999999999996</v>
      </c>
      <c r="R54" s="60">
        <v>97.93</v>
      </c>
      <c r="S54" s="60">
        <v>97.756</v>
      </c>
      <c r="T54" s="60">
        <v>97.763999999999996</v>
      </c>
      <c r="U54" s="60">
        <v>97.807000000000002</v>
      </c>
      <c r="V54" s="71">
        <v>97.748000000000005</v>
      </c>
      <c r="W54" s="115">
        <f t="shared" si="0"/>
        <v>97.6</v>
      </c>
      <c r="X54" s="27"/>
      <c r="Y54" s="27"/>
      <c r="Z54" s="29">
        <f t="shared" si="49"/>
        <v>-7.2999999999993292E-2</v>
      </c>
      <c r="AA54" s="50">
        <f t="shared" si="50"/>
        <v>-0.32100000000001216</v>
      </c>
      <c r="AB54" s="62">
        <f>P54-N54</f>
        <v>-0.10699999999999932</v>
      </c>
      <c r="AC54" s="62">
        <f>R54-P54</f>
        <v>9.200000000001296E-2</v>
      </c>
      <c r="AD54" s="62">
        <f t="shared" si="2"/>
        <v>-0.16600000000001103</v>
      </c>
      <c r="AE54" s="62">
        <f t="shared" si="3"/>
        <v>-1.5999999999991132E-2</v>
      </c>
      <c r="AF54" s="81">
        <f t="shared" si="9"/>
        <v>-0.14800000000001035</v>
      </c>
      <c r="AG54" s="81">
        <f>(W54-J54)/7</f>
        <v>-0.10557142857142919</v>
      </c>
      <c r="AH54" s="45"/>
      <c r="AI54" s="28"/>
      <c r="AJ54" s="29">
        <f t="shared" si="51"/>
        <v>-0.31400000000000716</v>
      </c>
      <c r="AK54" s="62">
        <f t="shared" si="52"/>
        <v>-0.17599999999998772</v>
      </c>
      <c r="AL54" s="62">
        <f>Q54-O54</f>
        <v>9.9999999999909051E-3</v>
      </c>
      <c r="AM54" s="62">
        <f t="shared" ref="AM54:AM55" si="57">S54-Q54</f>
        <v>-0.14199999999999591</v>
      </c>
      <c r="AN54" s="62">
        <f t="shared" si="5"/>
        <v>5.1000000000001933E-2</v>
      </c>
      <c r="AO54" s="61">
        <f>(U54-K54)/5</f>
        <v>-0.11419999999999959</v>
      </c>
      <c r="AP54" s="62">
        <f t="shared" si="7"/>
        <v>-5.8999999999997499E-2</v>
      </c>
      <c r="AQ54" s="62">
        <f t="shared" si="8"/>
        <v>-0.20700000000000784</v>
      </c>
      <c r="AR54"/>
    </row>
    <row r="55" spans="1:44" s="58" customFormat="1" x14ac:dyDescent="0.25">
      <c r="A55" s="14" t="s">
        <v>101</v>
      </c>
      <c r="B55" s="100">
        <v>2203302.8629999999</v>
      </c>
      <c r="C55" s="100">
        <v>6176146.7139999997</v>
      </c>
      <c r="D55" s="100">
        <v>169.809</v>
      </c>
      <c r="E55" s="15" t="s">
        <v>108</v>
      </c>
      <c r="F55" s="60"/>
      <c r="G55" s="60"/>
      <c r="H55" s="60"/>
      <c r="I55" s="60"/>
      <c r="J55" s="60"/>
      <c r="K55" s="60"/>
      <c r="L55" s="60"/>
      <c r="M55" s="64"/>
      <c r="N55" s="60"/>
      <c r="O55" s="64"/>
      <c r="P55" s="60"/>
      <c r="Q55" s="60">
        <v>159.16399999999999</v>
      </c>
      <c r="R55" s="60">
        <v>159.19</v>
      </c>
      <c r="S55" s="60">
        <v>159.14400000000001</v>
      </c>
      <c r="T55" s="45">
        <f>170.187-11.23</f>
        <v>158.95700000000002</v>
      </c>
      <c r="U55" s="45">
        <f>170.2-11.23</f>
        <v>158.97</v>
      </c>
      <c r="V55" s="71">
        <f>170.001-11.23</f>
        <v>158.77100000000002</v>
      </c>
      <c r="W55" s="115">
        <f>D55-11.23</f>
        <v>158.57900000000001</v>
      </c>
      <c r="X55" s="60"/>
      <c r="Y55" s="60"/>
      <c r="Z55" s="62"/>
      <c r="AA55" s="62"/>
      <c r="AB55" s="62"/>
      <c r="AC55" s="62" t="s">
        <v>100</v>
      </c>
      <c r="AD55" s="62">
        <f t="shared" si="2"/>
        <v>-0.23299999999997567</v>
      </c>
      <c r="AE55" s="62">
        <f t="shared" si="3"/>
        <v>-0.18600000000000705</v>
      </c>
      <c r="AF55" s="81">
        <f t="shared" si="9"/>
        <v>-0.19200000000000728</v>
      </c>
      <c r="AG55" s="81">
        <f>(W55-R55)/3</f>
        <v>-0.20366666666666333</v>
      </c>
      <c r="AH55" s="45"/>
      <c r="AI55" s="61"/>
      <c r="AJ55" s="62"/>
      <c r="AK55" s="62"/>
      <c r="AL55" s="62"/>
      <c r="AM55" s="62">
        <f t="shared" si="57"/>
        <v>-1.999999999998181E-2</v>
      </c>
      <c r="AN55" s="62">
        <f t="shared" si="5"/>
        <v>-0.17400000000000659</v>
      </c>
      <c r="AO55" s="61"/>
      <c r="AP55" s="62">
        <f t="shared" si="7"/>
        <v>-0.19899999999998386</v>
      </c>
      <c r="AQ55" s="62">
        <f t="shared" si="8"/>
        <v>-0.39099999999999113</v>
      </c>
    </row>
    <row r="56" spans="1:44" s="58" customFormat="1" x14ac:dyDescent="0.25">
      <c r="A56" s="3">
        <v>202</v>
      </c>
      <c r="B56" s="60">
        <v>2178457.9330000002</v>
      </c>
      <c r="C56" s="60">
        <v>6331655.1600000001</v>
      </c>
      <c r="D56" s="60">
        <v>324.11799999999999</v>
      </c>
      <c r="E56" s="6" t="s">
        <v>52</v>
      </c>
      <c r="F56" s="60"/>
      <c r="G56" s="60"/>
      <c r="H56" s="60"/>
      <c r="I56" s="60"/>
      <c r="J56" s="60"/>
      <c r="K56" s="60"/>
      <c r="L56" s="60"/>
      <c r="M56" s="64"/>
      <c r="N56" s="60"/>
      <c r="O56" s="64"/>
      <c r="P56" s="60"/>
      <c r="Q56" s="60"/>
      <c r="R56" s="60">
        <v>324.13</v>
      </c>
      <c r="S56" s="60">
        <v>324.22800000000001</v>
      </c>
      <c r="T56" s="60">
        <v>323.983</v>
      </c>
      <c r="U56" s="60">
        <v>324.154</v>
      </c>
      <c r="V56" s="71">
        <v>324.04599999999999</v>
      </c>
      <c r="W56" s="115">
        <f t="shared" si="0"/>
        <v>324.11799999999999</v>
      </c>
      <c r="X56" s="60"/>
      <c r="Y56" s="60"/>
      <c r="Z56" s="62"/>
      <c r="AA56" s="62"/>
      <c r="AB56" s="62"/>
      <c r="AC56" s="62" t="s">
        <v>100</v>
      </c>
      <c r="AD56" s="62">
        <f t="shared" si="2"/>
        <v>-0.14699999999999136</v>
      </c>
      <c r="AE56" s="62">
        <f t="shared" si="3"/>
        <v>6.2999999999988177E-2</v>
      </c>
      <c r="AF56" s="81">
        <f t="shared" si="9"/>
        <v>7.2000000000002728E-2</v>
      </c>
      <c r="AG56" s="81">
        <f>(W56-R56)/3</f>
        <v>-4.0000000000001519E-3</v>
      </c>
      <c r="AH56" s="45"/>
      <c r="AI56" s="61"/>
      <c r="AJ56" s="62"/>
      <c r="AK56" s="62"/>
      <c r="AL56" s="62"/>
      <c r="AM56" s="62"/>
      <c r="AN56" s="62">
        <f t="shared" si="5"/>
        <v>-7.4000000000012278E-2</v>
      </c>
      <c r="AO56" s="61"/>
      <c r="AP56" s="62">
        <f t="shared" si="7"/>
        <v>-0.10800000000000409</v>
      </c>
      <c r="AQ56" s="62">
        <f t="shared" si="8"/>
        <v>-3.6000000000001364E-2</v>
      </c>
    </row>
    <row r="57" spans="1:44" x14ac:dyDescent="0.25">
      <c r="A57" s="3" t="s">
        <v>25</v>
      </c>
      <c r="B57" s="60">
        <v>2224869.108</v>
      </c>
      <c r="C57" s="60">
        <v>6157684.9740000004</v>
      </c>
      <c r="D57" s="60">
        <v>144.66300000000001</v>
      </c>
      <c r="E57" s="6" t="s">
        <v>59</v>
      </c>
      <c r="F57" s="27"/>
      <c r="G57" s="27">
        <v>147.45500000000001</v>
      </c>
      <c r="H57" s="27">
        <v>147.393</v>
      </c>
      <c r="I57" s="27">
        <v>147.31700000000001</v>
      </c>
      <c r="J57" s="27">
        <v>146.78800000000001</v>
      </c>
      <c r="K57" s="27">
        <v>146.714</v>
      </c>
      <c r="L57" s="27">
        <v>146.69900000000001</v>
      </c>
      <c r="M57" s="51">
        <v>146.428</v>
      </c>
      <c r="N57" s="49">
        <v>146.23099999999999</v>
      </c>
      <c r="O57" s="60">
        <v>146.02199999999999</v>
      </c>
      <c r="P57" s="60">
        <v>145.68199999999999</v>
      </c>
      <c r="Q57" s="60">
        <v>145.471</v>
      </c>
      <c r="R57" s="60">
        <v>145.41</v>
      </c>
      <c r="S57" s="60">
        <v>145.30000000000001</v>
      </c>
      <c r="T57" s="60">
        <v>145.08000000000001</v>
      </c>
      <c r="U57" s="60">
        <v>144.96100000000001</v>
      </c>
      <c r="V57" s="71">
        <v>144.863</v>
      </c>
      <c r="W57" s="115">
        <f t="shared" si="0"/>
        <v>144.66300000000001</v>
      </c>
      <c r="X57" s="28"/>
      <c r="Y57" s="27">
        <f>J57-H57</f>
        <v>-0.60499999999998977</v>
      </c>
      <c r="Z57" s="29">
        <f t="shared" si="49"/>
        <v>-8.8999999999998636E-2</v>
      </c>
      <c r="AA57" s="50">
        <f t="shared" si="50"/>
        <v>-0.46800000000001774</v>
      </c>
      <c r="AB57" s="62">
        <f t="shared" ref="AB57:AB78" si="58">P57-N57</f>
        <v>-0.54900000000000659</v>
      </c>
      <c r="AC57" s="62">
        <f t="shared" ref="AC57:AC71" si="59">R57-P57</f>
        <v>-0.27199999999999136</v>
      </c>
      <c r="AD57" s="62">
        <f t="shared" si="2"/>
        <v>-0.32999999999998408</v>
      </c>
      <c r="AE57" s="62">
        <f t="shared" si="3"/>
        <v>-0.21700000000001296</v>
      </c>
      <c r="AF57" s="81">
        <f t="shared" si="9"/>
        <v>-0.19999999999998863</v>
      </c>
      <c r="AG57" s="81">
        <f>(W57-H57)/8</f>
        <v>-0.34124999999999872</v>
      </c>
      <c r="AH57" s="45">
        <f t="shared" ref="AH57:AH74" si="60">I57-G57</f>
        <v>-0.13800000000000523</v>
      </c>
      <c r="AI57" s="29">
        <f t="shared" ref="AI57:AI74" si="61">K57-I57</f>
        <v>-0.60300000000000864</v>
      </c>
      <c r="AJ57" s="29">
        <f t="shared" si="51"/>
        <v>-0.28600000000000136</v>
      </c>
      <c r="AK57" s="62">
        <f t="shared" si="52"/>
        <v>-0.40600000000000591</v>
      </c>
      <c r="AL57" s="62">
        <f t="shared" ref="AL57:AL73" si="62">Q57-O57</f>
        <v>-0.55099999999998772</v>
      </c>
      <c r="AM57" s="62">
        <f t="shared" ref="AM57:AM82" si="63">S57-Q57</f>
        <v>-0.17099999999999227</v>
      </c>
      <c r="AN57" s="62">
        <f t="shared" si="5"/>
        <v>-0.33899999999999864</v>
      </c>
      <c r="AO57" s="62">
        <f t="shared" ref="AO57:AO74" si="64">(U57-$G57)/7</f>
        <v>-0.35628571428571426</v>
      </c>
      <c r="AP57" s="62">
        <f t="shared" si="7"/>
        <v>-9.8000000000013188E-2</v>
      </c>
      <c r="AQ57" s="62">
        <f t="shared" si="8"/>
        <v>-0.29800000000000182</v>
      </c>
      <c r="AR57"/>
    </row>
    <row r="58" spans="1:44" x14ac:dyDescent="0.25">
      <c r="A58" s="3">
        <v>1009</v>
      </c>
      <c r="B58" s="60">
        <v>2233366.8369999998</v>
      </c>
      <c r="C58" s="60">
        <v>6122386.6869999999</v>
      </c>
      <c r="D58" s="60">
        <v>127.389</v>
      </c>
      <c r="E58" s="6" t="s">
        <v>26</v>
      </c>
      <c r="F58" s="27"/>
      <c r="G58" s="27">
        <v>129.43899999999999</v>
      </c>
      <c r="H58" s="27">
        <v>129.38800000000001</v>
      </c>
      <c r="I58" s="27">
        <v>129.27199999999999</v>
      </c>
      <c r="J58" s="27">
        <v>128.97900000000001</v>
      </c>
      <c r="K58" s="27">
        <v>128.81899999999999</v>
      </c>
      <c r="L58" s="27">
        <v>128.83099999999999</v>
      </c>
      <c r="M58" s="51">
        <v>128.46</v>
      </c>
      <c r="N58" s="49">
        <v>128.26599999999999</v>
      </c>
      <c r="O58" s="64">
        <v>128.23400000000001</v>
      </c>
      <c r="P58" s="60">
        <v>128.00800000000001</v>
      </c>
      <c r="Q58" s="60">
        <v>127.89</v>
      </c>
      <c r="R58" s="60">
        <v>127.9</v>
      </c>
      <c r="S58" s="60">
        <v>127.851</v>
      </c>
      <c r="T58" s="60">
        <v>127.679</v>
      </c>
      <c r="U58" s="60">
        <v>127.645</v>
      </c>
      <c r="V58" s="71">
        <v>127.547</v>
      </c>
      <c r="W58" s="115">
        <f t="shared" si="0"/>
        <v>127.389</v>
      </c>
      <c r="X58" s="28"/>
      <c r="Y58" s="27">
        <f>J58-H58</f>
        <v>-0.40899999999999181</v>
      </c>
      <c r="Z58" s="29">
        <f t="shared" si="49"/>
        <v>-0.14800000000002456</v>
      </c>
      <c r="AA58" s="50">
        <f t="shared" si="50"/>
        <v>-0.56499999999999773</v>
      </c>
      <c r="AB58" s="62">
        <f t="shared" si="58"/>
        <v>-0.25799999999998136</v>
      </c>
      <c r="AC58" s="62">
        <f t="shared" si="59"/>
        <v>-0.10800000000000409</v>
      </c>
      <c r="AD58" s="62">
        <f t="shared" si="2"/>
        <v>-0.22100000000000364</v>
      </c>
      <c r="AE58" s="62">
        <f t="shared" si="3"/>
        <v>-0.132000000000005</v>
      </c>
      <c r="AF58" s="81">
        <f t="shared" si="9"/>
        <v>-0.15800000000000125</v>
      </c>
      <c r="AG58" s="81">
        <f t="shared" ref="AG58:AG73" si="65">(W58-H58)/8</f>
        <v>-0.24987500000000118</v>
      </c>
      <c r="AH58" s="45">
        <f t="shared" si="60"/>
        <v>-0.16700000000000159</v>
      </c>
      <c r="AI58" s="29">
        <f t="shared" si="61"/>
        <v>-0.45300000000000296</v>
      </c>
      <c r="AJ58" s="29">
        <f t="shared" si="51"/>
        <v>-0.35899999999998045</v>
      </c>
      <c r="AK58" s="62">
        <f t="shared" si="52"/>
        <v>-0.22599999999999909</v>
      </c>
      <c r="AL58" s="62">
        <f t="shared" si="62"/>
        <v>-0.3440000000000083</v>
      </c>
      <c r="AM58" s="62">
        <f t="shared" si="63"/>
        <v>-3.9000000000001478E-2</v>
      </c>
      <c r="AN58" s="62">
        <f t="shared" si="5"/>
        <v>-0.20600000000000307</v>
      </c>
      <c r="AO58" s="62">
        <f t="shared" si="64"/>
        <v>-0.25628571428571384</v>
      </c>
      <c r="AP58" s="62">
        <f t="shared" si="7"/>
        <v>-9.7999999999998977E-2</v>
      </c>
      <c r="AQ58" s="62">
        <f t="shared" si="8"/>
        <v>-0.25600000000000023</v>
      </c>
      <c r="AR58"/>
    </row>
    <row r="59" spans="1:44" x14ac:dyDescent="0.25">
      <c r="A59" s="16" t="s">
        <v>71</v>
      </c>
      <c r="B59" s="100">
        <v>2241368.2400000002</v>
      </c>
      <c r="C59" s="100">
        <v>6157691.8329999996</v>
      </c>
      <c r="D59" s="100">
        <v>150.047</v>
      </c>
      <c r="E59" s="17" t="s">
        <v>72</v>
      </c>
      <c r="F59" s="27"/>
      <c r="G59" s="27">
        <v>147.08500000000001</v>
      </c>
      <c r="H59" s="27">
        <v>146.75399999999999</v>
      </c>
      <c r="I59" s="27">
        <v>146.453</v>
      </c>
      <c r="J59" s="27">
        <v>145.941</v>
      </c>
      <c r="K59" s="27">
        <v>145.679</v>
      </c>
      <c r="L59" s="31">
        <v>145.52199999999999</v>
      </c>
      <c r="M59" s="51">
        <v>145.08000000000001</v>
      </c>
      <c r="N59" s="49">
        <v>144.75099999999998</v>
      </c>
      <c r="O59" s="63">
        <v>144.393</v>
      </c>
      <c r="P59" s="79">
        <f>151.881-7.877</f>
        <v>144.00399999999999</v>
      </c>
      <c r="Q59" s="60">
        <f>151.558-7.877</f>
        <v>143.68099999999998</v>
      </c>
      <c r="R59" s="60">
        <f>151.42-7.877</f>
        <v>143.54299999999998</v>
      </c>
      <c r="S59" s="60">
        <f>151.083-7.877</f>
        <v>143.20599999999999</v>
      </c>
      <c r="T59" s="60">
        <f>150.822-7.877</f>
        <v>142.94499999999999</v>
      </c>
      <c r="U59" s="60">
        <f>150.55-7.877</f>
        <v>142.673</v>
      </c>
      <c r="V59" s="71">
        <f>150.397-7.877</f>
        <v>142.51999999999998</v>
      </c>
      <c r="W59" s="115">
        <f>D59-7.877</f>
        <v>142.16999999999999</v>
      </c>
      <c r="X59" s="28"/>
      <c r="Y59" s="27">
        <f>J59-H59</f>
        <v>-0.81299999999998818</v>
      </c>
      <c r="Z59" s="29">
        <f t="shared" si="49"/>
        <v>-0.41900000000001114</v>
      </c>
      <c r="AA59" s="50">
        <f t="shared" si="50"/>
        <v>-0.77100000000001501</v>
      </c>
      <c r="AB59" s="62">
        <f t="shared" si="58"/>
        <v>-0.74699999999998568</v>
      </c>
      <c r="AC59" s="62">
        <f t="shared" si="59"/>
        <v>-0.46100000000001273</v>
      </c>
      <c r="AD59" s="62">
        <f t="shared" si="2"/>
        <v>-0.59799999999998477</v>
      </c>
      <c r="AE59" s="62">
        <f t="shared" si="3"/>
        <v>-0.42500000000001137</v>
      </c>
      <c r="AF59" s="81">
        <f t="shared" si="9"/>
        <v>-0.34999999999999432</v>
      </c>
      <c r="AG59" s="81">
        <f t="shared" si="65"/>
        <v>-0.5730000000000004</v>
      </c>
      <c r="AH59" s="45">
        <f t="shared" si="60"/>
        <v>-0.632000000000005</v>
      </c>
      <c r="AI59" s="29">
        <f t="shared" si="61"/>
        <v>-0.77400000000000091</v>
      </c>
      <c r="AJ59" s="29">
        <f t="shared" si="51"/>
        <v>-0.59899999999998954</v>
      </c>
      <c r="AK59" s="62">
        <f t="shared" si="52"/>
        <v>-0.68700000000001182</v>
      </c>
      <c r="AL59" s="62">
        <f t="shared" si="62"/>
        <v>-0.71200000000001751</v>
      </c>
      <c r="AM59" s="62">
        <f t="shared" si="63"/>
        <v>-0.47499999999999432</v>
      </c>
      <c r="AN59" s="62">
        <f t="shared" si="5"/>
        <v>-0.53299999999998704</v>
      </c>
      <c r="AO59" s="62">
        <f t="shared" si="64"/>
        <v>-0.63028571428571512</v>
      </c>
      <c r="AP59" s="62">
        <f t="shared" si="7"/>
        <v>-0.15300000000002001</v>
      </c>
      <c r="AQ59" s="62">
        <f t="shared" si="8"/>
        <v>-0.50300000000001432</v>
      </c>
      <c r="AR59"/>
    </row>
    <row r="60" spans="1:44" x14ac:dyDescent="0.25">
      <c r="A60" s="16" t="s">
        <v>73</v>
      </c>
      <c r="B60" s="100">
        <v>2248691.7919999999</v>
      </c>
      <c r="C60" s="100">
        <v>6157718.301</v>
      </c>
      <c r="D60" s="100">
        <v>147.93899999999999</v>
      </c>
      <c r="E60" s="17" t="s">
        <v>74</v>
      </c>
      <c r="F60" s="27"/>
      <c r="G60" s="27">
        <v>150.631</v>
      </c>
      <c r="H60" s="27">
        <v>150.39500000000001</v>
      </c>
      <c r="I60" s="27">
        <v>149.96600000000001</v>
      </c>
      <c r="J60" s="27">
        <v>149.50399999999999</v>
      </c>
      <c r="K60" s="27">
        <v>149.11100000000002</v>
      </c>
      <c r="L60" s="31">
        <v>148.96100000000001</v>
      </c>
      <c r="M60" s="51">
        <v>148.43</v>
      </c>
      <c r="N60" s="49">
        <v>148.1</v>
      </c>
      <c r="O60" s="63">
        <v>147.774</v>
      </c>
      <c r="P60" s="79">
        <f>149.585-2.177</f>
        <v>147.40800000000002</v>
      </c>
      <c r="Q60" s="60">
        <f>149.287-2.177</f>
        <v>147.11000000000001</v>
      </c>
      <c r="R60" s="60">
        <f>149.22-2.177</f>
        <v>147.04300000000001</v>
      </c>
      <c r="S60" s="60">
        <f>148.905-2.177</f>
        <v>146.72800000000001</v>
      </c>
      <c r="T60" s="60">
        <f>148.615-2.177</f>
        <v>146.43800000000002</v>
      </c>
      <c r="U60" s="60">
        <f>148.38-2.177</f>
        <v>146.203</v>
      </c>
      <c r="V60" s="71">
        <f>148.274-2.177</f>
        <v>146.09700000000001</v>
      </c>
      <c r="W60" s="115">
        <f>D60-2.177</f>
        <v>145.762</v>
      </c>
      <c r="X60" s="28"/>
      <c r="Y60" s="27">
        <f>(I60-G60)/(12/12)</f>
        <v>-0.66499999999999204</v>
      </c>
      <c r="Z60" s="29">
        <f t="shared" si="49"/>
        <v>-0.54299999999997794</v>
      </c>
      <c r="AA60" s="50">
        <f t="shared" si="50"/>
        <v>-0.86100000000001842</v>
      </c>
      <c r="AB60" s="62">
        <f t="shared" si="58"/>
        <v>-0.69199999999997885</v>
      </c>
      <c r="AC60" s="62">
        <f t="shared" si="59"/>
        <v>-0.36500000000000909</v>
      </c>
      <c r="AD60" s="62">
        <f t="shared" si="2"/>
        <v>-0.60499999999998977</v>
      </c>
      <c r="AE60" s="62">
        <f t="shared" si="3"/>
        <v>-0.34100000000000819</v>
      </c>
      <c r="AF60" s="81">
        <f t="shared" si="9"/>
        <v>-0.33500000000000796</v>
      </c>
      <c r="AG60" s="81">
        <f t="shared" si="65"/>
        <v>-0.57912500000000122</v>
      </c>
      <c r="AH60" s="45">
        <f t="shared" si="60"/>
        <v>-0.66499999999999204</v>
      </c>
      <c r="AI60" s="29">
        <f t="shared" si="61"/>
        <v>-0.85499999999998977</v>
      </c>
      <c r="AJ60" s="29">
        <f t="shared" si="51"/>
        <v>-0.6810000000000116</v>
      </c>
      <c r="AK60" s="62">
        <f t="shared" si="52"/>
        <v>-0.65600000000000591</v>
      </c>
      <c r="AL60" s="62">
        <f t="shared" si="62"/>
        <v>-0.66399999999998727</v>
      </c>
      <c r="AM60" s="62">
        <f t="shared" si="63"/>
        <v>-0.382000000000005</v>
      </c>
      <c r="AN60" s="62">
        <f t="shared" si="5"/>
        <v>-0.52500000000000568</v>
      </c>
      <c r="AO60" s="62">
        <f t="shared" si="64"/>
        <v>-0.63257142857142823</v>
      </c>
      <c r="AP60" s="62">
        <f t="shared" si="7"/>
        <v>-0.10599999999999454</v>
      </c>
      <c r="AQ60" s="62">
        <f t="shared" si="8"/>
        <v>-0.4410000000000025</v>
      </c>
      <c r="AR60"/>
    </row>
    <row r="61" spans="1:44" x14ac:dyDescent="0.25">
      <c r="A61" s="16" t="s">
        <v>75</v>
      </c>
      <c r="B61" s="100">
        <v>2265037.645</v>
      </c>
      <c r="C61" s="100">
        <v>6131551.5640000002</v>
      </c>
      <c r="D61" s="100">
        <v>123.96599999999999</v>
      </c>
      <c r="E61" s="17" t="s">
        <v>80</v>
      </c>
      <c r="F61" s="27"/>
      <c r="G61" s="27">
        <v>129.24100000000001</v>
      </c>
      <c r="H61" s="27">
        <v>128.96</v>
      </c>
      <c r="I61" s="27">
        <v>128.55099999999999</v>
      </c>
      <c r="J61" s="27">
        <v>128.00700000000001</v>
      </c>
      <c r="K61" s="27">
        <v>127.70599999999999</v>
      </c>
      <c r="L61" s="31">
        <v>127.53399999999999</v>
      </c>
      <c r="M61" s="51">
        <v>126.92</v>
      </c>
      <c r="N61" s="49">
        <v>126.61399999999999</v>
      </c>
      <c r="O61" s="63">
        <v>126.32799999999999</v>
      </c>
      <c r="P61" s="79">
        <f>125.37+0.633</f>
        <v>126.003</v>
      </c>
      <c r="Q61" s="60">
        <f>125.192+0.633</f>
        <v>125.82499999999999</v>
      </c>
      <c r="R61" s="60">
        <f>125.02+0.633</f>
        <v>125.65299999999999</v>
      </c>
      <c r="S61" s="60">
        <f>124.821+0.633</f>
        <v>125.45399999999999</v>
      </c>
      <c r="T61" s="60">
        <f>124.678+0.663</f>
        <v>125.34099999999999</v>
      </c>
      <c r="U61" s="60">
        <f>124.6+0.663</f>
        <v>125.26299999999999</v>
      </c>
      <c r="V61" s="71">
        <f>124.526+0.663</f>
        <v>125.18899999999999</v>
      </c>
      <c r="W61" s="115">
        <f>D61+0.663</f>
        <v>124.62899999999999</v>
      </c>
      <c r="X61" s="28"/>
      <c r="Y61" s="27">
        <f>(I61-G61)/(12/12)</f>
        <v>-0.69000000000002615</v>
      </c>
      <c r="Z61" s="29">
        <f t="shared" si="49"/>
        <v>-0.47300000000001319</v>
      </c>
      <c r="AA61" s="50">
        <f t="shared" si="50"/>
        <v>-0.92000000000000171</v>
      </c>
      <c r="AB61" s="62">
        <f t="shared" si="58"/>
        <v>-0.61099999999999</v>
      </c>
      <c r="AC61" s="62">
        <f t="shared" si="59"/>
        <v>-0.35000000000000853</v>
      </c>
      <c r="AD61" s="62">
        <f t="shared" si="2"/>
        <v>-0.31199999999999761</v>
      </c>
      <c r="AE61" s="62">
        <f t="shared" si="3"/>
        <v>-0.15200000000000102</v>
      </c>
      <c r="AF61" s="81">
        <f t="shared" si="9"/>
        <v>-0.56000000000000227</v>
      </c>
      <c r="AG61" s="81">
        <f t="shared" si="65"/>
        <v>-0.54137500000000216</v>
      </c>
      <c r="AH61" s="45">
        <f t="shared" si="60"/>
        <v>-0.69000000000002615</v>
      </c>
      <c r="AI61" s="29">
        <f t="shared" si="61"/>
        <v>-0.84499999999999886</v>
      </c>
      <c r="AJ61" s="29">
        <f t="shared" si="51"/>
        <v>-0.78599999999998715</v>
      </c>
      <c r="AK61" s="62">
        <f t="shared" si="52"/>
        <v>-0.59200000000001296</v>
      </c>
      <c r="AL61" s="62">
        <f t="shared" si="62"/>
        <v>-0.50300000000000011</v>
      </c>
      <c r="AM61" s="62">
        <f t="shared" si="63"/>
        <v>-0.37099999999999511</v>
      </c>
      <c r="AN61" s="62">
        <f t="shared" si="5"/>
        <v>-0.1910000000000025</v>
      </c>
      <c r="AO61" s="62">
        <f t="shared" si="64"/>
        <v>-0.5682857142857175</v>
      </c>
      <c r="AP61" s="62">
        <f t="shared" si="7"/>
        <v>-7.3999999999998067E-2</v>
      </c>
      <c r="AQ61" s="62">
        <f t="shared" si="8"/>
        <v>-0.63400000000000034</v>
      </c>
      <c r="AR61"/>
    </row>
    <row r="62" spans="1:44" x14ac:dyDescent="0.25">
      <c r="A62" s="3">
        <v>1108</v>
      </c>
      <c r="B62" s="60">
        <v>2361312.0279999999</v>
      </c>
      <c r="C62" s="60">
        <v>6086633.8229999999</v>
      </c>
      <c r="D62" s="60">
        <v>123.54</v>
      </c>
      <c r="E62" s="6" t="s">
        <v>27</v>
      </c>
      <c r="F62" s="27"/>
      <c r="G62" s="27">
        <v>123.751</v>
      </c>
      <c r="H62" s="27">
        <v>123.78100000000001</v>
      </c>
      <c r="I62" s="27">
        <v>123.747</v>
      </c>
      <c r="J62" s="27">
        <v>123.568</v>
      </c>
      <c r="K62" s="27">
        <v>123.779</v>
      </c>
      <c r="L62" s="27">
        <v>123.785</v>
      </c>
      <c r="M62" s="51">
        <v>123.71299999999999</v>
      </c>
      <c r="N62" s="49">
        <v>123.626</v>
      </c>
      <c r="O62" s="64">
        <v>123.611</v>
      </c>
      <c r="P62" s="60">
        <v>123.636</v>
      </c>
      <c r="Q62" s="60">
        <v>123.67100000000001</v>
      </c>
      <c r="R62" s="60">
        <v>123.63</v>
      </c>
      <c r="S62" s="60">
        <v>123.51</v>
      </c>
      <c r="T62" s="60">
        <v>123.517</v>
      </c>
      <c r="U62" s="60">
        <v>123.529</v>
      </c>
      <c r="V62" s="71">
        <v>123.55</v>
      </c>
      <c r="W62" s="115">
        <f t="shared" si="0"/>
        <v>123.54</v>
      </c>
      <c r="X62" s="28"/>
      <c r="Y62" s="27">
        <f t="shared" ref="Y62:Y74" si="66">J62-H62</f>
        <v>-0.21300000000000807</v>
      </c>
      <c r="Z62" s="29">
        <f t="shared" si="49"/>
        <v>0.21699999999999875</v>
      </c>
      <c r="AA62" s="50">
        <f t="shared" si="50"/>
        <v>-0.15899999999999181</v>
      </c>
      <c r="AB62" s="62">
        <f t="shared" si="58"/>
        <v>9.9999999999909051E-3</v>
      </c>
      <c r="AC62" s="62">
        <f t="shared" si="59"/>
        <v>-6.0000000000002274E-3</v>
      </c>
      <c r="AD62" s="62">
        <f t="shared" si="2"/>
        <v>-0.11299999999999955</v>
      </c>
      <c r="AE62" s="62">
        <f t="shared" si="3"/>
        <v>3.3000000000001251E-2</v>
      </c>
      <c r="AF62" s="81">
        <f t="shared" si="9"/>
        <v>-9.9999999999909051E-3</v>
      </c>
      <c r="AG62" s="81">
        <f t="shared" si="65"/>
        <v>-3.0124999999999957E-2</v>
      </c>
      <c r="AH62" s="45">
        <f t="shared" si="60"/>
        <v>-4.0000000000048885E-3</v>
      </c>
      <c r="AI62" s="29">
        <f t="shared" si="61"/>
        <v>3.1999999999996476E-2</v>
      </c>
      <c r="AJ62" s="29">
        <f t="shared" si="51"/>
        <v>-6.6000000000002501E-2</v>
      </c>
      <c r="AK62" s="62">
        <f t="shared" si="52"/>
        <v>-0.10199999999998965</v>
      </c>
      <c r="AL62" s="62">
        <f t="shared" si="62"/>
        <v>6.0000000000002274E-2</v>
      </c>
      <c r="AM62" s="62">
        <f t="shared" si="63"/>
        <v>-0.16100000000000136</v>
      </c>
      <c r="AN62" s="62">
        <f t="shared" si="5"/>
        <v>1.8999999999991246E-2</v>
      </c>
      <c r="AO62" s="62">
        <f t="shared" si="64"/>
        <v>-3.1714285714286916E-2</v>
      </c>
      <c r="AP62" s="62">
        <f t="shared" si="7"/>
        <v>2.1000000000000796E-2</v>
      </c>
      <c r="AQ62" s="62">
        <f t="shared" si="8"/>
        <v>1.1000000000009891E-2</v>
      </c>
      <c r="AR62"/>
    </row>
    <row r="63" spans="1:44" x14ac:dyDescent="0.25">
      <c r="A63" s="54">
        <v>2062</v>
      </c>
      <c r="B63" s="132" t="s">
        <v>125</v>
      </c>
      <c r="C63" s="131"/>
      <c r="D63" s="107"/>
      <c r="E63" s="55" t="s">
        <v>111</v>
      </c>
      <c r="F63" s="27"/>
      <c r="G63" s="27">
        <v>141.374</v>
      </c>
      <c r="H63" s="27">
        <v>141.346</v>
      </c>
      <c r="I63" s="27">
        <v>141.18899999999999</v>
      </c>
      <c r="J63" s="27">
        <v>140.86199999999999</v>
      </c>
      <c r="K63" s="27">
        <v>140.679</v>
      </c>
      <c r="L63" s="27">
        <v>140.68299999999999</v>
      </c>
      <c r="M63" s="51">
        <v>140.42500000000001</v>
      </c>
      <c r="N63" s="49">
        <v>140.178</v>
      </c>
      <c r="O63" s="60">
        <v>139.97399999999999</v>
      </c>
      <c r="P63" s="60">
        <v>139.69</v>
      </c>
      <c r="Q63" s="60">
        <v>139.55199999999999</v>
      </c>
      <c r="R63" s="60">
        <v>139.47999999999999</v>
      </c>
      <c r="S63" s="60">
        <v>139.328</v>
      </c>
      <c r="T63" s="95"/>
      <c r="U63" s="60">
        <v>139.08199999999999</v>
      </c>
      <c r="V63" s="71">
        <v>138.86699999999999</v>
      </c>
      <c r="W63" s="116"/>
      <c r="X63" s="28"/>
      <c r="Y63" s="27">
        <f t="shared" si="66"/>
        <v>-0.48400000000000887</v>
      </c>
      <c r="Z63" s="29">
        <f t="shared" si="49"/>
        <v>-0.17900000000000205</v>
      </c>
      <c r="AA63" s="50">
        <f t="shared" si="50"/>
        <v>-0.50499999999999545</v>
      </c>
      <c r="AB63" s="62">
        <f t="shared" si="58"/>
        <v>-0.48799999999999955</v>
      </c>
      <c r="AC63" s="62">
        <f t="shared" si="59"/>
        <v>-0.21000000000000796</v>
      </c>
      <c r="AD63" s="62"/>
      <c r="AE63" s="62"/>
      <c r="AF63" s="81"/>
      <c r="AG63" s="81"/>
      <c r="AH63" s="45">
        <f t="shared" si="60"/>
        <v>-0.18500000000000227</v>
      </c>
      <c r="AI63" s="29">
        <f t="shared" si="61"/>
        <v>-0.50999999999999091</v>
      </c>
      <c r="AJ63" s="29">
        <f t="shared" si="51"/>
        <v>-0.25399999999999068</v>
      </c>
      <c r="AK63" s="62">
        <f t="shared" si="52"/>
        <v>-0.45100000000002183</v>
      </c>
      <c r="AL63" s="62">
        <f t="shared" si="62"/>
        <v>-0.42199999999999704</v>
      </c>
      <c r="AM63" s="62">
        <f t="shared" si="63"/>
        <v>-0.22399999999998954</v>
      </c>
      <c r="AN63" s="62">
        <f t="shared" si="5"/>
        <v>-0.24600000000000932</v>
      </c>
      <c r="AO63" s="62">
        <f t="shared" si="64"/>
        <v>-0.32742857142857168</v>
      </c>
      <c r="AP63" s="62">
        <f t="shared" si="7"/>
        <v>-0.21500000000000341</v>
      </c>
      <c r="AQ63" s="62"/>
      <c r="AR63"/>
    </row>
    <row r="64" spans="1:44" x14ac:dyDescent="0.25">
      <c r="A64" s="3">
        <v>2065</v>
      </c>
      <c r="B64" s="60">
        <v>2322679.46</v>
      </c>
      <c r="C64" s="60">
        <v>6128257.3830000004</v>
      </c>
      <c r="D64" s="60">
        <v>143.87200000000001</v>
      </c>
      <c r="E64" s="6" t="s">
        <v>28</v>
      </c>
      <c r="F64" s="27"/>
      <c r="G64" s="27">
        <v>146.01599999999999</v>
      </c>
      <c r="H64" s="27">
        <v>146.024</v>
      </c>
      <c r="I64" s="27">
        <v>145.74600000000001</v>
      </c>
      <c r="J64" s="27">
        <v>145.44399999999999</v>
      </c>
      <c r="K64" s="27">
        <v>145.39699999999999</v>
      </c>
      <c r="L64" s="27">
        <v>145.36099999999999</v>
      </c>
      <c r="M64" s="51">
        <v>144.94800000000001</v>
      </c>
      <c r="N64" s="49">
        <v>144.82400000000001</v>
      </c>
      <c r="O64" s="64">
        <v>144.71</v>
      </c>
      <c r="P64" s="60">
        <v>144.61699999999999</v>
      </c>
      <c r="Q64" s="60">
        <v>144.495</v>
      </c>
      <c r="R64" s="60">
        <v>144.47999999999999</v>
      </c>
      <c r="S64" s="60">
        <v>144.25200000000001</v>
      </c>
      <c r="T64" s="60">
        <v>144.233</v>
      </c>
      <c r="U64" s="60">
        <v>144.09200000000001</v>
      </c>
      <c r="V64" s="71">
        <v>144.07300000000001</v>
      </c>
      <c r="W64" s="115">
        <f t="shared" si="0"/>
        <v>143.87200000000001</v>
      </c>
      <c r="X64" s="28"/>
      <c r="Y64" s="27">
        <f t="shared" si="66"/>
        <v>-0.58000000000001251</v>
      </c>
      <c r="Z64" s="29">
        <f t="shared" si="49"/>
        <v>-8.2999999999998408E-2</v>
      </c>
      <c r="AA64" s="50">
        <f t="shared" si="50"/>
        <v>-0.53699999999997772</v>
      </c>
      <c r="AB64" s="62">
        <f t="shared" si="58"/>
        <v>-0.20700000000002206</v>
      </c>
      <c r="AC64" s="62">
        <f t="shared" si="59"/>
        <v>-0.13700000000000045</v>
      </c>
      <c r="AD64" s="62">
        <f t="shared" si="2"/>
        <v>-0.24699999999998568</v>
      </c>
      <c r="AE64" s="62">
        <f t="shared" si="3"/>
        <v>-0.15999999999999659</v>
      </c>
      <c r="AF64" s="81">
        <f t="shared" si="9"/>
        <v>-0.20099999999999341</v>
      </c>
      <c r="AG64" s="81">
        <f t="shared" si="65"/>
        <v>-0.26899999999999835</v>
      </c>
      <c r="AH64" s="45">
        <f t="shared" si="60"/>
        <v>-0.26999999999998181</v>
      </c>
      <c r="AI64" s="29">
        <f t="shared" si="61"/>
        <v>-0.34900000000001796</v>
      </c>
      <c r="AJ64" s="29">
        <f t="shared" si="51"/>
        <v>-0.44899999999998386</v>
      </c>
      <c r="AK64" s="62">
        <f t="shared" si="52"/>
        <v>-0.23799999999999955</v>
      </c>
      <c r="AL64" s="62">
        <f t="shared" si="62"/>
        <v>-0.21500000000000341</v>
      </c>
      <c r="AM64" s="62">
        <f t="shared" si="63"/>
        <v>-0.242999999999995</v>
      </c>
      <c r="AN64" s="62">
        <f t="shared" si="5"/>
        <v>-0.15999999999999659</v>
      </c>
      <c r="AO64" s="62">
        <f t="shared" si="64"/>
        <v>-0.27485714285713975</v>
      </c>
      <c r="AP64" s="62">
        <f t="shared" si="7"/>
        <v>-1.9000000000005457E-2</v>
      </c>
      <c r="AQ64" s="62">
        <f t="shared" si="8"/>
        <v>-0.21999999999999886</v>
      </c>
      <c r="AR64"/>
    </row>
    <row r="65" spans="1:44" x14ac:dyDescent="0.25">
      <c r="A65" s="3">
        <v>2076</v>
      </c>
      <c r="B65" s="60">
        <v>2280427.719</v>
      </c>
      <c r="C65" s="60">
        <v>6163347.8430000003</v>
      </c>
      <c r="D65" s="60">
        <v>177.81399999999999</v>
      </c>
      <c r="E65" s="6" t="s">
        <v>76</v>
      </c>
      <c r="F65" s="27"/>
      <c r="G65" s="27">
        <v>180.94900000000001</v>
      </c>
      <c r="H65" s="27">
        <v>180.85499999999999</v>
      </c>
      <c r="I65" s="27">
        <v>180.67400000000001</v>
      </c>
      <c r="J65" s="27">
        <v>180.34399999999999</v>
      </c>
      <c r="K65" s="27">
        <v>180.22399999999999</v>
      </c>
      <c r="L65" s="27">
        <v>180.119</v>
      </c>
      <c r="M65" s="51">
        <v>179.67599999999999</v>
      </c>
      <c r="N65" s="49">
        <v>179.36</v>
      </c>
      <c r="O65" s="60">
        <v>179.251</v>
      </c>
      <c r="P65" s="60">
        <v>178.92400000000001</v>
      </c>
      <c r="Q65" s="60">
        <v>178.732</v>
      </c>
      <c r="R65" s="60">
        <v>178.66</v>
      </c>
      <c r="S65" s="60">
        <v>178.506</v>
      </c>
      <c r="T65" s="60">
        <v>178.26300000000001</v>
      </c>
      <c r="U65" s="60">
        <v>178.17</v>
      </c>
      <c r="V65" s="71">
        <v>178.03800000000001</v>
      </c>
      <c r="W65" s="115">
        <f t="shared" si="0"/>
        <v>177.81399999999999</v>
      </c>
      <c r="X65" s="28"/>
      <c r="Y65" s="27">
        <f t="shared" si="66"/>
        <v>-0.51099999999999568</v>
      </c>
      <c r="Z65" s="29">
        <f t="shared" si="49"/>
        <v>-0.22499999999999432</v>
      </c>
      <c r="AA65" s="50">
        <f t="shared" si="50"/>
        <v>-0.75899999999998613</v>
      </c>
      <c r="AB65" s="62">
        <f t="shared" si="58"/>
        <v>-0.43600000000000705</v>
      </c>
      <c r="AC65" s="62">
        <f t="shared" si="59"/>
        <v>-0.26400000000001</v>
      </c>
      <c r="AD65" s="62">
        <f t="shared" si="2"/>
        <v>-0.39699999999999136</v>
      </c>
      <c r="AE65" s="62">
        <f t="shared" si="3"/>
        <v>-0.22499999999999432</v>
      </c>
      <c r="AF65" s="81">
        <f t="shared" si="9"/>
        <v>-0.22400000000001796</v>
      </c>
      <c r="AG65" s="81">
        <f t="shared" si="65"/>
        <v>-0.3801249999999996</v>
      </c>
      <c r="AH65" s="45">
        <f t="shared" si="60"/>
        <v>-0.27500000000000568</v>
      </c>
      <c r="AI65" s="29">
        <f t="shared" si="61"/>
        <v>-0.45000000000001705</v>
      </c>
      <c r="AJ65" s="29">
        <f t="shared" si="51"/>
        <v>-0.54800000000000182</v>
      </c>
      <c r="AK65" s="62">
        <f t="shared" si="52"/>
        <v>-0.42499999999998295</v>
      </c>
      <c r="AL65" s="62">
        <f t="shared" si="62"/>
        <v>-0.51900000000000546</v>
      </c>
      <c r="AM65" s="62">
        <f t="shared" si="63"/>
        <v>-0.22599999999999909</v>
      </c>
      <c r="AN65" s="62">
        <f t="shared" si="5"/>
        <v>-0.33600000000001273</v>
      </c>
      <c r="AO65" s="62">
        <f t="shared" si="64"/>
        <v>-0.39700000000000352</v>
      </c>
      <c r="AP65" s="62">
        <f t="shared" si="7"/>
        <v>-0.13199999999997658</v>
      </c>
      <c r="AQ65" s="62">
        <f t="shared" si="8"/>
        <v>-0.35599999999999454</v>
      </c>
      <c r="AR65"/>
    </row>
    <row r="66" spans="1:44" x14ac:dyDescent="0.25">
      <c r="A66" s="3">
        <v>2107</v>
      </c>
      <c r="B66" s="60">
        <v>2099695.69</v>
      </c>
      <c r="C66" s="60">
        <v>6220352.7599999998</v>
      </c>
      <c r="D66" s="60">
        <v>174.59100000000001</v>
      </c>
      <c r="E66" s="6" t="s">
        <v>77</v>
      </c>
      <c r="F66" s="27"/>
      <c r="G66" s="27">
        <v>176.244</v>
      </c>
      <c r="H66" s="27">
        <v>176.19399999999999</v>
      </c>
      <c r="I66" s="27">
        <v>176.119</v>
      </c>
      <c r="J66" s="27">
        <v>175.773</v>
      </c>
      <c r="K66" s="27">
        <v>175.53700000000001</v>
      </c>
      <c r="L66" s="27">
        <v>175.65299999999999</v>
      </c>
      <c r="M66" s="51">
        <v>175.44900000000001</v>
      </c>
      <c r="N66" s="49">
        <v>175.25200000000001</v>
      </c>
      <c r="O66" s="64">
        <v>175.13499999999999</v>
      </c>
      <c r="P66" s="60">
        <v>174.94900000000001</v>
      </c>
      <c r="Q66" s="60">
        <v>175.048</v>
      </c>
      <c r="R66" s="60">
        <v>174.99</v>
      </c>
      <c r="S66" s="60">
        <v>175.023</v>
      </c>
      <c r="T66" s="60">
        <v>174.91300000000001</v>
      </c>
      <c r="U66" s="60">
        <v>174.95699999999999</v>
      </c>
      <c r="V66" s="71">
        <v>174.80699999999999</v>
      </c>
      <c r="W66" s="115">
        <f t="shared" si="0"/>
        <v>174.59100000000001</v>
      </c>
      <c r="X66" s="28"/>
      <c r="Y66" s="27">
        <f t="shared" si="66"/>
        <v>-0.42099999999999227</v>
      </c>
      <c r="Z66" s="29">
        <f t="shared" si="49"/>
        <v>-0.12000000000000455</v>
      </c>
      <c r="AA66" s="50">
        <f t="shared" si="50"/>
        <v>-0.40099999999998204</v>
      </c>
      <c r="AB66" s="62">
        <f t="shared" si="58"/>
        <v>-0.30299999999999727</v>
      </c>
      <c r="AC66" s="62">
        <f t="shared" si="59"/>
        <v>4.0999999999996817E-2</v>
      </c>
      <c r="AD66" s="62">
        <f t="shared" si="2"/>
        <v>-7.6999999999998181E-2</v>
      </c>
      <c r="AE66" s="62">
        <f t="shared" si="3"/>
        <v>-0.10600000000002296</v>
      </c>
      <c r="AF66" s="81">
        <f t="shared" si="9"/>
        <v>-0.21599999999997976</v>
      </c>
      <c r="AG66" s="81">
        <f t="shared" si="65"/>
        <v>-0.20037499999999753</v>
      </c>
      <c r="AH66" s="45">
        <f t="shared" si="60"/>
        <v>-0.125</v>
      </c>
      <c r="AI66" s="29">
        <f t="shared" si="61"/>
        <v>-0.58199999999999363</v>
      </c>
      <c r="AJ66" s="29">
        <f t="shared" si="51"/>
        <v>-8.7999999999993861E-2</v>
      </c>
      <c r="AK66" s="62">
        <f t="shared" si="52"/>
        <v>-0.31400000000002137</v>
      </c>
      <c r="AL66" s="62">
        <f t="shared" si="62"/>
        <v>-8.6999999999989086E-2</v>
      </c>
      <c r="AM66" s="62">
        <f t="shared" si="63"/>
        <v>-2.5000000000005684E-2</v>
      </c>
      <c r="AN66" s="62">
        <f t="shared" si="5"/>
        <v>-6.6000000000002501E-2</v>
      </c>
      <c r="AO66" s="62">
        <f t="shared" si="64"/>
        <v>-0.18385714285714375</v>
      </c>
      <c r="AP66" s="62">
        <f t="shared" si="7"/>
        <v>-0.15000000000000568</v>
      </c>
      <c r="AQ66" s="62">
        <f t="shared" si="8"/>
        <v>-0.36599999999998545</v>
      </c>
      <c r="AR66"/>
    </row>
    <row r="67" spans="1:44" x14ac:dyDescent="0.25">
      <c r="A67" s="3">
        <v>2147</v>
      </c>
      <c r="B67" s="60">
        <v>2062741.5660000001</v>
      </c>
      <c r="C67" s="60">
        <v>6223015.9970000004</v>
      </c>
      <c r="D67" s="60">
        <v>194.82400000000001</v>
      </c>
      <c r="E67" s="6" t="s">
        <v>29</v>
      </c>
      <c r="F67" s="27"/>
      <c r="G67" s="27">
        <v>196.79599999999999</v>
      </c>
      <c r="H67" s="27">
        <v>196.71700000000001</v>
      </c>
      <c r="I67" s="27">
        <v>196.62899999999999</v>
      </c>
      <c r="J67" s="27">
        <v>196.21700000000001</v>
      </c>
      <c r="K67" s="27">
        <v>195.95699999999999</v>
      </c>
      <c r="L67" s="27">
        <v>195.95599999999999</v>
      </c>
      <c r="M67" s="51">
        <v>195.655</v>
      </c>
      <c r="N67" s="49">
        <v>195.43700000000001</v>
      </c>
      <c r="O67" s="60">
        <v>195.34299999999999</v>
      </c>
      <c r="P67" s="60">
        <v>195.07400000000001</v>
      </c>
      <c r="Q67" s="60">
        <v>195.24100000000001</v>
      </c>
      <c r="R67" s="60">
        <v>195.2</v>
      </c>
      <c r="S67" s="60">
        <v>195.26300000000001</v>
      </c>
      <c r="T67" s="60">
        <v>195.16499999999999</v>
      </c>
      <c r="U67" s="60">
        <v>195.203</v>
      </c>
      <c r="V67" s="71">
        <v>195.084</v>
      </c>
      <c r="W67" s="115">
        <f t="shared" si="0"/>
        <v>194.82400000000001</v>
      </c>
      <c r="X67" s="28"/>
      <c r="Y67" s="27">
        <f t="shared" si="66"/>
        <v>-0.5</v>
      </c>
      <c r="Z67" s="29">
        <f t="shared" si="49"/>
        <v>-0.2610000000000241</v>
      </c>
      <c r="AA67" s="50">
        <f t="shared" si="50"/>
        <v>-0.51899999999997704</v>
      </c>
      <c r="AB67" s="62">
        <f t="shared" si="58"/>
        <v>-0.36299999999999955</v>
      </c>
      <c r="AC67" s="62">
        <f t="shared" si="59"/>
        <v>0.12599999999997635</v>
      </c>
      <c r="AD67" s="62">
        <f t="shared" si="2"/>
        <v>-3.4999999999996589E-2</v>
      </c>
      <c r="AE67" s="62">
        <f t="shared" si="3"/>
        <v>-8.0999999999988859E-2</v>
      </c>
      <c r="AF67" s="81">
        <f t="shared" si="9"/>
        <v>-0.25999999999999091</v>
      </c>
      <c r="AG67" s="81">
        <f t="shared" si="65"/>
        <v>-0.23662500000000009</v>
      </c>
      <c r="AH67" s="45">
        <f t="shared" si="60"/>
        <v>-0.16700000000000159</v>
      </c>
      <c r="AI67" s="29">
        <f t="shared" si="61"/>
        <v>-0.67199999999999704</v>
      </c>
      <c r="AJ67" s="29">
        <f t="shared" si="51"/>
        <v>-0.3019999999999925</v>
      </c>
      <c r="AK67" s="62">
        <f t="shared" si="52"/>
        <v>-0.31200000000001182</v>
      </c>
      <c r="AL67" s="62">
        <f t="shared" si="62"/>
        <v>-0.10199999999997544</v>
      </c>
      <c r="AM67" s="62">
        <f t="shared" si="63"/>
        <v>2.199999999999136E-2</v>
      </c>
      <c r="AN67" s="62">
        <f t="shared" si="5"/>
        <v>-6.0000000000002274E-2</v>
      </c>
      <c r="AO67" s="62">
        <f t="shared" si="64"/>
        <v>-0.22757142857142704</v>
      </c>
      <c r="AP67" s="62">
        <f t="shared" si="7"/>
        <v>-0.11899999999999977</v>
      </c>
      <c r="AQ67" s="62">
        <f t="shared" si="8"/>
        <v>-0.37899999999999068</v>
      </c>
      <c r="AR67"/>
    </row>
    <row r="68" spans="1:44" x14ac:dyDescent="0.25">
      <c r="A68" s="3">
        <v>2149</v>
      </c>
      <c r="B68" s="60">
        <v>2115864.7220000001</v>
      </c>
      <c r="C68" s="60">
        <v>6175004.4639999997</v>
      </c>
      <c r="D68" s="60">
        <v>164.35900000000001</v>
      </c>
      <c r="E68" s="6" t="s">
        <v>30</v>
      </c>
      <c r="F68" s="27"/>
      <c r="G68" s="27">
        <v>166.011</v>
      </c>
      <c r="H68" s="27">
        <v>165.95699999999999</v>
      </c>
      <c r="I68" s="27">
        <v>165.93</v>
      </c>
      <c r="J68" s="27">
        <v>165.58799999999999</v>
      </c>
      <c r="K68" s="27">
        <v>165.482</v>
      </c>
      <c r="L68" s="27">
        <v>165.506</v>
      </c>
      <c r="M68" s="51">
        <v>165.334</v>
      </c>
      <c r="N68" s="49">
        <v>165.02</v>
      </c>
      <c r="O68" s="64">
        <v>165</v>
      </c>
      <c r="P68" s="60">
        <v>164.65899999999999</v>
      </c>
      <c r="Q68" s="60">
        <v>164.74</v>
      </c>
      <c r="R68" s="60">
        <v>164.68</v>
      </c>
      <c r="S68" s="60">
        <v>164.87700000000001</v>
      </c>
      <c r="T68" s="60">
        <v>164.62</v>
      </c>
      <c r="U68" s="60">
        <v>164.67699999999999</v>
      </c>
      <c r="V68" s="71">
        <v>164.57</v>
      </c>
      <c r="W68" s="115">
        <f t="shared" si="0"/>
        <v>164.35900000000001</v>
      </c>
      <c r="X68" s="28"/>
      <c r="Y68" s="27">
        <f t="shared" si="66"/>
        <v>-0.36899999999999977</v>
      </c>
      <c r="Z68" s="29">
        <f t="shared" si="49"/>
        <v>-8.1999999999993634E-2</v>
      </c>
      <c r="AA68" s="50">
        <f t="shared" si="50"/>
        <v>-0.48599999999999</v>
      </c>
      <c r="AB68" s="62">
        <f t="shared" si="58"/>
        <v>-0.36100000000001842</v>
      </c>
      <c r="AC68" s="62">
        <f t="shared" si="59"/>
        <v>2.1000000000015007E-2</v>
      </c>
      <c r="AD68" s="62">
        <f t="shared" si="2"/>
        <v>-6.0000000000002274E-2</v>
      </c>
      <c r="AE68" s="62">
        <f t="shared" si="3"/>
        <v>-5.0000000000011369E-2</v>
      </c>
      <c r="AF68" s="81">
        <f t="shared" si="9"/>
        <v>-0.21099999999998431</v>
      </c>
      <c r="AG68" s="81">
        <f t="shared" si="65"/>
        <v>-0.1997499999999981</v>
      </c>
      <c r="AH68" s="45">
        <f t="shared" si="60"/>
        <v>-8.0999999999988859E-2</v>
      </c>
      <c r="AI68" s="29">
        <f t="shared" si="61"/>
        <v>-0.4480000000000075</v>
      </c>
      <c r="AJ68" s="29">
        <f t="shared" si="51"/>
        <v>-0.14799999999999613</v>
      </c>
      <c r="AK68" s="62">
        <f t="shared" si="52"/>
        <v>-0.33400000000000318</v>
      </c>
      <c r="AL68" s="62">
        <f t="shared" si="62"/>
        <v>-0.25999999999999091</v>
      </c>
      <c r="AM68" s="62">
        <f t="shared" si="63"/>
        <v>0.13700000000000045</v>
      </c>
      <c r="AN68" s="62">
        <f t="shared" si="5"/>
        <v>-0.20000000000001705</v>
      </c>
      <c r="AO68" s="62">
        <f t="shared" si="64"/>
        <v>-0.19057142857142903</v>
      </c>
      <c r="AP68" s="62">
        <f t="shared" si="7"/>
        <v>-0.10699999999999932</v>
      </c>
      <c r="AQ68" s="62">
        <f t="shared" si="8"/>
        <v>-0.31799999999998363</v>
      </c>
      <c r="AR68"/>
    </row>
    <row r="69" spans="1:44" x14ac:dyDescent="0.25">
      <c r="A69" s="3">
        <v>2160</v>
      </c>
      <c r="B69" s="60">
        <v>2078118.281</v>
      </c>
      <c r="C69" s="60">
        <v>6305388.3339999998</v>
      </c>
      <c r="D69" s="60">
        <v>232.209</v>
      </c>
      <c r="E69" s="6" t="s">
        <v>31</v>
      </c>
      <c r="F69" s="27"/>
      <c r="G69" s="27">
        <v>233.19</v>
      </c>
      <c r="H69" s="27">
        <v>233.017</v>
      </c>
      <c r="I69" s="27">
        <v>232.982</v>
      </c>
      <c r="J69" s="27">
        <v>232.66900000000001</v>
      </c>
      <c r="K69" s="27">
        <v>232.74</v>
      </c>
      <c r="L69" s="27">
        <v>232.733</v>
      </c>
      <c r="M69" s="51">
        <v>232.73400000000001</v>
      </c>
      <c r="N69" s="49">
        <v>232.624</v>
      </c>
      <c r="O69" s="60">
        <v>232.59100000000001</v>
      </c>
      <c r="P69" s="60">
        <v>232.49100000000001</v>
      </c>
      <c r="Q69" s="60">
        <v>232.45699999999999</v>
      </c>
      <c r="R69" s="60">
        <v>232.41</v>
      </c>
      <c r="S69" s="60">
        <v>232.726</v>
      </c>
      <c r="T69" s="60">
        <v>232.33099999999999</v>
      </c>
      <c r="U69" s="60">
        <v>232.523</v>
      </c>
      <c r="V69" s="71">
        <v>232.267</v>
      </c>
      <c r="W69" s="115">
        <f t="shared" si="0"/>
        <v>232.209</v>
      </c>
      <c r="X69" s="28"/>
      <c r="Y69" s="27">
        <f t="shared" si="66"/>
        <v>-0.34799999999998477</v>
      </c>
      <c r="Z69" s="29">
        <f t="shared" si="49"/>
        <v>6.3999999999992951E-2</v>
      </c>
      <c r="AA69" s="50">
        <f t="shared" si="50"/>
        <v>-0.10900000000000887</v>
      </c>
      <c r="AB69" s="62">
        <f t="shared" si="58"/>
        <v>-0.13299999999998136</v>
      </c>
      <c r="AC69" s="62">
        <f t="shared" si="59"/>
        <v>-8.100000000001728E-2</v>
      </c>
      <c r="AD69" s="62">
        <f t="shared" si="2"/>
        <v>-7.9000000000007731E-2</v>
      </c>
      <c r="AE69" s="62">
        <f t="shared" si="3"/>
        <v>-6.3999999999992951E-2</v>
      </c>
      <c r="AF69" s="81">
        <f t="shared" si="9"/>
        <v>-5.7999999999992724E-2</v>
      </c>
      <c r="AG69" s="81">
        <f t="shared" si="65"/>
        <v>-0.10099999999999909</v>
      </c>
      <c r="AH69" s="45">
        <f t="shared" si="60"/>
        <v>-0.20799999999999841</v>
      </c>
      <c r="AI69" s="29">
        <f t="shared" si="61"/>
        <v>-0.24199999999999022</v>
      </c>
      <c r="AJ69" s="29">
        <f t="shared" si="51"/>
        <v>-6.0000000000002274E-3</v>
      </c>
      <c r="AK69" s="62">
        <f t="shared" si="52"/>
        <v>-0.14300000000000068</v>
      </c>
      <c r="AL69" s="62">
        <f t="shared" si="62"/>
        <v>-0.13400000000001455</v>
      </c>
      <c r="AM69" s="62">
        <f t="shared" si="63"/>
        <v>0.26900000000000546</v>
      </c>
      <c r="AN69" s="62">
        <f t="shared" si="5"/>
        <v>-0.20300000000000296</v>
      </c>
      <c r="AO69" s="62">
        <f t="shared" si="64"/>
        <v>-9.5285714285714515E-2</v>
      </c>
      <c r="AP69" s="62">
        <f t="shared" si="7"/>
        <v>-0.25600000000000023</v>
      </c>
      <c r="AQ69" s="62">
        <f t="shared" si="8"/>
        <v>-0.31399999999999295</v>
      </c>
      <c r="AR69"/>
    </row>
    <row r="70" spans="1:44" x14ac:dyDescent="0.25">
      <c r="A70" s="3">
        <v>2348</v>
      </c>
      <c r="B70" s="60">
        <v>2256684.6290000002</v>
      </c>
      <c r="C70" s="60">
        <v>6084032.5290000001</v>
      </c>
      <c r="D70" s="60">
        <v>112.199</v>
      </c>
      <c r="E70" s="6" t="s">
        <v>32</v>
      </c>
      <c r="F70" s="27"/>
      <c r="G70" s="27">
        <v>113.44199999999999</v>
      </c>
      <c r="H70" s="27">
        <v>113.36499999999999</v>
      </c>
      <c r="I70" s="27">
        <v>113.253</v>
      </c>
      <c r="J70" s="27">
        <v>113.081</v>
      </c>
      <c r="K70" s="27">
        <v>113.08</v>
      </c>
      <c r="L70" s="27">
        <v>113.14700000000001</v>
      </c>
      <c r="M70" s="51">
        <v>112.976</v>
      </c>
      <c r="N70" s="49">
        <v>112.854</v>
      </c>
      <c r="O70" s="64">
        <v>112.828</v>
      </c>
      <c r="P70" s="60">
        <v>112.67700000000001</v>
      </c>
      <c r="Q70" s="60">
        <v>112.621</v>
      </c>
      <c r="R70" s="60">
        <v>112.58</v>
      </c>
      <c r="S70" s="60">
        <v>112.498</v>
      </c>
      <c r="T70" s="60">
        <v>112.45699999999999</v>
      </c>
      <c r="U70" s="60">
        <v>112.384</v>
      </c>
      <c r="V70" s="71">
        <v>112.325</v>
      </c>
      <c r="W70" s="115">
        <f t="shared" ref="W70:W82" si="67">D70</f>
        <v>112.199</v>
      </c>
      <c r="X70" s="28"/>
      <c r="Y70" s="27">
        <f t="shared" si="66"/>
        <v>-0.28399999999999181</v>
      </c>
      <c r="Z70" s="29">
        <f t="shared" si="49"/>
        <v>6.6000000000002501E-2</v>
      </c>
      <c r="AA70" s="50">
        <f t="shared" si="50"/>
        <v>-0.29300000000000637</v>
      </c>
      <c r="AB70" s="62">
        <f t="shared" si="58"/>
        <v>-0.1769999999999925</v>
      </c>
      <c r="AC70" s="62">
        <f t="shared" si="59"/>
        <v>-9.7000000000008413E-2</v>
      </c>
      <c r="AD70" s="62">
        <f t="shared" si="2"/>
        <v>-0.12300000000000466</v>
      </c>
      <c r="AE70" s="62">
        <f t="shared" si="3"/>
        <v>-0.13199999999999079</v>
      </c>
      <c r="AF70" s="81">
        <f t="shared" si="9"/>
        <v>-0.12600000000000477</v>
      </c>
      <c r="AG70" s="81">
        <f t="shared" si="65"/>
        <v>-0.1457499999999996</v>
      </c>
      <c r="AH70" s="45">
        <f t="shared" si="60"/>
        <v>-0.18899999999999295</v>
      </c>
      <c r="AI70" s="29">
        <f t="shared" si="61"/>
        <v>-0.17300000000000182</v>
      </c>
      <c r="AJ70" s="29">
        <f t="shared" si="51"/>
        <v>-0.1039999999999992</v>
      </c>
      <c r="AK70" s="62">
        <f t="shared" si="52"/>
        <v>-0.14799999999999613</v>
      </c>
      <c r="AL70" s="62">
        <f t="shared" si="62"/>
        <v>-0.20700000000000784</v>
      </c>
      <c r="AM70" s="62">
        <f t="shared" si="63"/>
        <v>-0.12299999999999045</v>
      </c>
      <c r="AN70" s="62">
        <f t="shared" si="5"/>
        <v>-0.11400000000000432</v>
      </c>
      <c r="AO70" s="62">
        <f t="shared" si="64"/>
        <v>-0.15114285714285611</v>
      </c>
      <c r="AP70" s="62">
        <f t="shared" si="7"/>
        <v>-5.8999999999997499E-2</v>
      </c>
      <c r="AQ70" s="62">
        <f t="shared" si="8"/>
        <v>-0.18500000000000227</v>
      </c>
      <c r="AR70"/>
    </row>
    <row r="71" spans="1:44" x14ac:dyDescent="0.25">
      <c r="A71" s="3">
        <v>2362</v>
      </c>
      <c r="B71" s="60">
        <v>2256922.9679999999</v>
      </c>
      <c r="C71" s="60">
        <v>6143246.2549999999</v>
      </c>
      <c r="D71" s="60">
        <v>146.005</v>
      </c>
      <c r="E71" s="6" t="s">
        <v>33</v>
      </c>
      <c r="F71" s="27"/>
      <c r="G71" s="27">
        <v>149.81800000000001</v>
      </c>
      <c r="H71" s="27">
        <v>149.62100000000001</v>
      </c>
      <c r="I71" s="27">
        <v>149.286</v>
      </c>
      <c r="J71" s="27">
        <v>148.89099999999999</v>
      </c>
      <c r="K71" s="27">
        <v>148.68199999999999</v>
      </c>
      <c r="L71" s="27">
        <v>148.51599999999999</v>
      </c>
      <c r="M71" s="51">
        <v>148.02099999999999</v>
      </c>
      <c r="N71" s="49">
        <v>147.65299999999999</v>
      </c>
      <c r="O71" s="60">
        <v>147.36199999999999</v>
      </c>
      <c r="P71" s="60">
        <v>147.04400000000001</v>
      </c>
      <c r="Q71" s="60">
        <v>146.845</v>
      </c>
      <c r="R71" s="60">
        <v>146.75</v>
      </c>
      <c r="S71" s="60">
        <v>146.57499999999999</v>
      </c>
      <c r="T71" s="60">
        <v>146.393</v>
      </c>
      <c r="U71" s="60">
        <v>146.35</v>
      </c>
      <c r="V71" s="71">
        <v>146.24799999999999</v>
      </c>
      <c r="W71" s="115">
        <f t="shared" si="67"/>
        <v>146.005</v>
      </c>
      <c r="X71" s="28"/>
      <c r="Y71" s="27">
        <f t="shared" si="66"/>
        <v>-0.73000000000001819</v>
      </c>
      <c r="Z71" s="29">
        <f t="shared" si="49"/>
        <v>-0.375</v>
      </c>
      <c r="AA71" s="50">
        <f t="shared" si="50"/>
        <v>-0.86299999999999955</v>
      </c>
      <c r="AB71" s="62">
        <f t="shared" si="58"/>
        <v>-0.60899999999998045</v>
      </c>
      <c r="AC71" s="62">
        <f t="shared" si="59"/>
        <v>-0.29400000000001114</v>
      </c>
      <c r="AD71" s="62">
        <f t="shared" ref="AD71:AD82" si="68">T71-R71</f>
        <v>-0.35699999999999932</v>
      </c>
      <c r="AE71" s="62">
        <f t="shared" ref="AE71:AE82" si="69">V71-T71</f>
        <v>-0.14500000000001023</v>
      </c>
      <c r="AF71" s="81">
        <f t="shared" ref="AF71:AF82" si="70">W71-V71</f>
        <v>-0.242999999999995</v>
      </c>
      <c r="AG71" s="81">
        <f t="shared" si="65"/>
        <v>-0.45200000000000173</v>
      </c>
      <c r="AH71" s="45">
        <f t="shared" si="60"/>
        <v>-0.53200000000001069</v>
      </c>
      <c r="AI71" s="29">
        <f t="shared" si="61"/>
        <v>-0.60400000000001342</v>
      </c>
      <c r="AJ71" s="29">
        <f t="shared" si="51"/>
        <v>-0.66100000000000136</v>
      </c>
      <c r="AK71" s="62">
        <f t="shared" si="52"/>
        <v>-0.65899999999999181</v>
      </c>
      <c r="AL71" s="62">
        <f t="shared" si="62"/>
        <v>-0.51699999999999591</v>
      </c>
      <c r="AM71" s="62">
        <f t="shared" si="63"/>
        <v>-0.27000000000001023</v>
      </c>
      <c r="AN71" s="62">
        <f t="shared" ref="AN71:AN82" si="71">U71-S71</f>
        <v>-0.22499999999999432</v>
      </c>
      <c r="AO71" s="62">
        <f t="shared" si="64"/>
        <v>-0.49542857142857394</v>
      </c>
      <c r="AP71" s="62">
        <f t="shared" ref="AP71:AP82" si="72">V71-U71</f>
        <v>-0.10200000000000387</v>
      </c>
      <c r="AQ71" s="62">
        <f t="shared" ref="AQ71:AQ82" si="73">W71-U71</f>
        <v>-0.34499999999999886</v>
      </c>
      <c r="AR71"/>
    </row>
    <row r="72" spans="1:44" x14ac:dyDescent="0.25">
      <c r="A72" s="3">
        <v>2378</v>
      </c>
      <c r="B72" s="60">
        <v>2256382.1290000002</v>
      </c>
      <c r="C72" s="60">
        <v>6184306.4970000004</v>
      </c>
      <c r="D72" s="60">
        <v>178.65</v>
      </c>
      <c r="E72" s="6" t="s">
        <v>34</v>
      </c>
      <c r="F72" s="27"/>
      <c r="G72" s="27">
        <v>182.58799999999999</v>
      </c>
      <c r="H72" s="27">
        <v>182.47</v>
      </c>
      <c r="I72" s="27">
        <v>182.262</v>
      </c>
      <c r="J72" s="27">
        <v>181.863</v>
      </c>
      <c r="K72" s="27">
        <v>181.62899999999999</v>
      </c>
      <c r="L72" s="27">
        <v>181.46299999999999</v>
      </c>
      <c r="M72" s="51">
        <v>181.03899999999999</v>
      </c>
      <c r="N72" s="49">
        <v>180.71600000000001</v>
      </c>
      <c r="O72" s="64">
        <v>180.50899999999999</v>
      </c>
      <c r="P72" s="60">
        <v>180.17400000000001</v>
      </c>
      <c r="Q72" s="60">
        <v>179.904</v>
      </c>
      <c r="R72" s="60">
        <v>179.83</v>
      </c>
      <c r="S72" s="60">
        <v>179.535</v>
      </c>
      <c r="T72" s="60">
        <v>179.25299999999999</v>
      </c>
      <c r="U72" s="60">
        <v>179.14099999999999</v>
      </c>
      <c r="V72" s="71">
        <v>178.99299999999999</v>
      </c>
      <c r="W72" s="115">
        <f t="shared" si="67"/>
        <v>178.65</v>
      </c>
      <c r="X72" s="28"/>
      <c r="Y72" s="27">
        <f t="shared" si="66"/>
        <v>-0.60699999999999932</v>
      </c>
      <c r="Z72" s="29">
        <f t="shared" si="49"/>
        <v>-0.40000000000000568</v>
      </c>
      <c r="AA72" s="50">
        <f t="shared" si="50"/>
        <v>-0.74699999999998568</v>
      </c>
      <c r="AB72" s="62">
        <f t="shared" si="58"/>
        <v>-0.54200000000000159</v>
      </c>
      <c r="AC72" s="62">
        <f t="shared" ref="AC72:AC81" si="74">R72-P72</f>
        <v>-0.34399999999999409</v>
      </c>
      <c r="AD72" s="62">
        <f t="shared" si="68"/>
        <v>-0.5770000000000266</v>
      </c>
      <c r="AE72" s="62">
        <f t="shared" si="69"/>
        <v>-0.25999999999999091</v>
      </c>
      <c r="AF72" s="81">
        <f t="shared" si="70"/>
        <v>-0.34299999999998931</v>
      </c>
      <c r="AG72" s="81">
        <f t="shared" si="65"/>
        <v>-0.47749999999999915</v>
      </c>
      <c r="AH72" s="45">
        <f t="shared" si="60"/>
        <v>-0.32599999999999341</v>
      </c>
      <c r="AI72" s="29">
        <f t="shared" si="61"/>
        <v>-0.63300000000000978</v>
      </c>
      <c r="AJ72" s="29">
        <f t="shared" si="51"/>
        <v>-0.59000000000000341</v>
      </c>
      <c r="AK72" s="62">
        <f t="shared" si="52"/>
        <v>-0.53000000000000114</v>
      </c>
      <c r="AL72" s="62">
        <f t="shared" si="62"/>
        <v>-0.60499999999998977</v>
      </c>
      <c r="AM72" s="62">
        <f t="shared" si="63"/>
        <v>-0.36899999999999977</v>
      </c>
      <c r="AN72" s="62">
        <f t="shared" si="71"/>
        <v>-0.39400000000000546</v>
      </c>
      <c r="AO72" s="62">
        <f t="shared" si="64"/>
        <v>-0.49242857142857183</v>
      </c>
      <c r="AP72" s="62">
        <f t="shared" si="72"/>
        <v>-0.14799999999999613</v>
      </c>
      <c r="AQ72" s="62">
        <f t="shared" si="73"/>
        <v>-0.49099999999998545</v>
      </c>
      <c r="AR72"/>
    </row>
    <row r="73" spans="1:44" x14ac:dyDescent="0.25">
      <c r="A73" s="3">
        <v>2448</v>
      </c>
      <c r="B73" s="60">
        <v>2061261.2479999999</v>
      </c>
      <c r="C73" s="60">
        <v>6266141.2510000002</v>
      </c>
      <c r="D73" s="60">
        <v>196.80799999999999</v>
      </c>
      <c r="E73" s="6" t="s">
        <v>35</v>
      </c>
      <c r="F73" s="27"/>
      <c r="G73" s="27">
        <v>199.41499999999999</v>
      </c>
      <c r="H73" s="27">
        <v>199.28</v>
      </c>
      <c r="I73" s="27">
        <v>199.18700000000001</v>
      </c>
      <c r="J73" s="27">
        <v>198.756</v>
      </c>
      <c r="K73" s="27">
        <v>198.536</v>
      </c>
      <c r="L73" s="27">
        <v>198.501</v>
      </c>
      <c r="M73" s="51">
        <v>198.22800000000001</v>
      </c>
      <c r="N73" s="49">
        <v>198.03200000000001</v>
      </c>
      <c r="O73" s="60">
        <v>197.88900000000001</v>
      </c>
      <c r="P73" s="60">
        <v>197.703</v>
      </c>
      <c r="Q73" s="60">
        <v>197.64099999999999</v>
      </c>
      <c r="R73" s="60">
        <v>197.57</v>
      </c>
      <c r="S73" s="60">
        <v>197.559</v>
      </c>
      <c r="T73" s="60">
        <v>197.33799999999999</v>
      </c>
      <c r="U73" s="60">
        <v>197.27500000000001</v>
      </c>
      <c r="V73" s="71">
        <v>197.15299999999999</v>
      </c>
      <c r="W73" s="115">
        <f t="shared" si="67"/>
        <v>196.80799999999999</v>
      </c>
      <c r="X73" s="28"/>
      <c r="Y73" s="27">
        <f t="shared" si="66"/>
        <v>-0.52400000000000091</v>
      </c>
      <c r="Z73" s="29">
        <f t="shared" si="49"/>
        <v>-0.25499999999999545</v>
      </c>
      <c r="AA73" s="50">
        <f t="shared" si="50"/>
        <v>-0.46899999999999409</v>
      </c>
      <c r="AB73" s="62">
        <f t="shared" si="58"/>
        <v>-0.32900000000000773</v>
      </c>
      <c r="AC73" s="62">
        <f t="shared" si="74"/>
        <v>-0.13300000000000978</v>
      </c>
      <c r="AD73" s="62">
        <f t="shared" si="68"/>
        <v>-0.23199999999999932</v>
      </c>
      <c r="AE73" s="62">
        <f t="shared" si="69"/>
        <v>-0.18500000000000227</v>
      </c>
      <c r="AF73" s="81">
        <f t="shared" si="70"/>
        <v>-0.34499999999999886</v>
      </c>
      <c r="AG73" s="81">
        <f t="shared" si="65"/>
        <v>-0.30900000000000105</v>
      </c>
      <c r="AH73" s="45">
        <f t="shared" si="60"/>
        <v>-0.22799999999998022</v>
      </c>
      <c r="AI73" s="29">
        <f t="shared" si="61"/>
        <v>-0.65100000000001046</v>
      </c>
      <c r="AJ73" s="29">
        <f t="shared" si="51"/>
        <v>-0.30799999999999272</v>
      </c>
      <c r="AK73" s="62">
        <f t="shared" si="52"/>
        <v>-0.33899999999999864</v>
      </c>
      <c r="AL73" s="62">
        <f t="shared" si="62"/>
        <v>-0.24800000000001887</v>
      </c>
      <c r="AM73" s="62">
        <f t="shared" si="63"/>
        <v>-8.1999999999993634E-2</v>
      </c>
      <c r="AN73" s="62">
        <f t="shared" si="71"/>
        <v>-0.28399999999999181</v>
      </c>
      <c r="AO73" s="62">
        <f t="shared" si="64"/>
        <v>-0.30571428571428377</v>
      </c>
      <c r="AP73" s="62">
        <f t="shared" si="72"/>
        <v>-0.1220000000000141</v>
      </c>
      <c r="AQ73" s="62">
        <f t="shared" si="73"/>
        <v>-0.46700000000001296</v>
      </c>
      <c r="AR73"/>
    </row>
    <row r="74" spans="1:44" x14ac:dyDescent="0.25">
      <c r="A74" s="41">
        <v>2562</v>
      </c>
      <c r="B74" s="63">
        <v>2232976.8509999998</v>
      </c>
      <c r="C74" s="63">
        <v>6129496.5140000004</v>
      </c>
      <c r="D74" s="63">
        <v>131.26499999999999</v>
      </c>
      <c r="E74" s="43" t="s">
        <v>79</v>
      </c>
      <c r="F74" s="27"/>
      <c r="G74" s="27">
        <v>133.74100000000001</v>
      </c>
      <c r="H74" s="27">
        <v>133.63499999999999</v>
      </c>
      <c r="I74" s="27">
        <v>133.54</v>
      </c>
      <c r="J74" s="27">
        <v>133.214</v>
      </c>
      <c r="K74" s="27">
        <v>133.13</v>
      </c>
      <c r="L74" s="27">
        <v>133.08500000000001</v>
      </c>
      <c r="M74" s="51">
        <v>132.648</v>
      </c>
      <c r="N74" s="49">
        <v>132.40100000000001</v>
      </c>
      <c r="O74" s="64">
        <v>132.345</v>
      </c>
      <c r="P74" s="60">
        <v>132.05699999999999</v>
      </c>
      <c r="Q74" s="60">
        <v>131.93</v>
      </c>
      <c r="R74" s="60">
        <v>131.88</v>
      </c>
      <c r="S74" s="60">
        <v>131.80099999999999</v>
      </c>
      <c r="T74" s="60">
        <v>131.62200000000001</v>
      </c>
      <c r="U74" s="60">
        <v>131.54900000000001</v>
      </c>
      <c r="V74" s="71"/>
      <c r="W74" s="115">
        <f t="shared" si="67"/>
        <v>131.26499999999999</v>
      </c>
      <c r="X74" s="28"/>
      <c r="Y74" s="27">
        <f t="shared" si="66"/>
        <v>-0.42099999999999227</v>
      </c>
      <c r="Z74" s="29">
        <f t="shared" si="49"/>
        <v>-0.12899999999999068</v>
      </c>
      <c r="AA74" s="50">
        <f t="shared" si="50"/>
        <v>-0.6839999999999975</v>
      </c>
      <c r="AB74" s="62">
        <f t="shared" si="58"/>
        <v>-0.34400000000002251</v>
      </c>
      <c r="AC74" s="62">
        <f t="shared" si="74"/>
        <v>-0.1769999999999925</v>
      </c>
      <c r="AD74" s="62">
        <f t="shared" si="68"/>
        <v>-0.25799999999998136</v>
      </c>
      <c r="AE74" s="62"/>
      <c r="AF74" s="81"/>
      <c r="AG74" s="81">
        <f>(W74-H74)/8</f>
        <v>-0.29625000000000057</v>
      </c>
      <c r="AH74" s="45">
        <f t="shared" si="60"/>
        <v>-0.20100000000002183</v>
      </c>
      <c r="AI74" s="29">
        <f t="shared" si="61"/>
        <v>-0.40999999999999659</v>
      </c>
      <c r="AJ74" s="29">
        <f t="shared" si="51"/>
        <v>-0.48199999999999932</v>
      </c>
      <c r="AK74" s="62">
        <f t="shared" si="52"/>
        <v>-0.30299999999999727</v>
      </c>
      <c r="AL74" s="62">
        <f t="shared" ref="AL74:AL82" si="75">Q74-O74</f>
        <v>-0.41499999999999204</v>
      </c>
      <c r="AM74" s="62">
        <f t="shared" si="63"/>
        <v>-0.1290000000000191</v>
      </c>
      <c r="AN74" s="62">
        <f t="shared" si="71"/>
        <v>-0.25199999999998113</v>
      </c>
      <c r="AO74" s="62">
        <f t="shared" si="64"/>
        <v>-0.31314285714285817</v>
      </c>
      <c r="AP74" s="62"/>
      <c r="AQ74" s="62">
        <f t="shared" si="73"/>
        <v>-0.28400000000002024</v>
      </c>
      <c r="AR74"/>
    </row>
    <row r="75" spans="1:44" x14ac:dyDescent="0.25">
      <c r="A75" s="3" t="s">
        <v>36</v>
      </c>
      <c r="B75" s="60">
        <v>2405239.0180000002</v>
      </c>
      <c r="C75" s="60">
        <v>6241496.5180000002</v>
      </c>
      <c r="D75" s="60">
        <v>1289.376</v>
      </c>
      <c r="E75" s="6" t="s">
        <v>37</v>
      </c>
      <c r="F75" s="27"/>
      <c r="G75" s="27"/>
      <c r="H75" s="27"/>
      <c r="I75" s="27"/>
      <c r="J75" s="27">
        <v>1289.2950000000001</v>
      </c>
      <c r="K75" s="27">
        <v>1289.337</v>
      </c>
      <c r="L75" s="27">
        <v>1289.2280000000001</v>
      </c>
      <c r="M75" s="51">
        <v>1289.3710000000001</v>
      </c>
      <c r="N75" s="49">
        <v>1289.354</v>
      </c>
      <c r="O75" s="60">
        <v>1289.4580000000001</v>
      </c>
      <c r="P75" s="60">
        <v>1289.1679999999999</v>
      </c>
      <c r="Q75" s="60">
        <v>1289.422</v>
      </c>
      <c r="R75" s="60">
        <v>1289.32</v>
      </c>
      <c r="S75" s="60">
        <v>1289.4169999999999</v>
      </c>
      <c r="T75" s="60">
        <v>1289.3579999999999</v>
      </c>
      <c r="U75" s="60">
        <v>1289.366</v>
      </c>
      <c r="V75" s="71">
        <v>1289.3209999999999</v>
      </c>
      <c r="W75" s="115">
        <f t="shared" si="67"/>
        <v>1289.376</v>
      </c>
      <c r="X75" s="27"/>
      <c r="Y75" s="27"/>
      <c r="Z75" s="29">
        <f t="shared" ref="Z75:Z82" si="76">L75-J75</f>
        <v>-6.7000000000007276E-2</v>
      </c>
      <c r="AA75" s="50">
        <f t="shared" ref="AA75:AA82" si="77">N75-L75</f>
        <v>0.12599999999997635</v>
      </c>
      <c r="AB75" s="62">
        <f t="shared" si="58"/>
        <v>-0.18600000000014916</v>
      </c>
      <c r="AC75" s="62">
        <f t="shared" si="74"/>
        <v>0.15200000000004366</v>
      </c>
      <c r="AD75" s="62">
        <f t="shared" si="68"/>
        <v>3.8000000000010914E-2</v>
      </c>
      <c r="AE75" s="62">
        <f t="shared" si="69"/>
        <v>-3.7000000000034561E-2</v>
      </c>
      <c r="AF75" s="81">
        <f t="shared" si="70"/>
        <v>5.5000000000063665E-2</v>
      </c>
      <c r="AG75" s="81">
        <f>(W75-J75)/7</f>
        <v>1.1571428571414799E-2</v>
      </c>
      <c r="AH75" s="28"/>
      <c r="AI75" s="28"/>
      <c r="AJ75" s="29">
        <f t="shared" ref="AJ75:AJ82" si="78">M75-K75</f>
        <v>3.4000000000105501E-2</v>
      </c>
      <c r="AK75" s="62">
        <f t="shared" ref="AK75:AK82" si="79">O75-M75</f>
        <v>8.6999999999989086E-2</v>
      </c>
      <c r="AL75" s="62">
        <f t="shared" si="75"/>
        <v>-3.6000000000058208E-2</v>
      </c>
      <c r="AM75" s="62">
        <f t="shared" si="63"/>
        <v>-5.0000000001091394E-3</v>
      </c>
      <c r="AN75" s="62">
        <f t="shared" si="71"/>
        <v>-5.0999999999930878E-2</v>
      </c>
      <c r="AO75" s="61">
        <f t="shared" ref="AO75:AO82" si="80">(U75-K75)/5</f>
        <v>5.7999999999992728E-3</v>
      </c>
      <c r="AP75" s="62">
        <f t="shared" si="72"/>
        <v>-4.500000000007276E-2</v>
      </c>
      <c r="AQ75" s="62">
        <f t="shared" si="73"/>
        <v>9.9999999999909051E-3</v>
      </c>
      <c r="AR75"/>
    </row>
    <row r="76" spans="1:44" x14ac:dyDescent="0.25">
      <c r="A76" s="3" t="s">
        <v>38</v>
      </c>
      <c r="B76" s="60">
        <v>2273179.34</v>
      </c>
      <c r="C76" s="60">
        <v>6009947.6380000003</v>
      </c>
      <c r="D76" s="60">
        <v>137.82</v>
      </c>
      <c r="E76" s="6" t="s">
        <v>78</v>
      </c>
      <c r="F76" s="27"/>
      <c r="G76" s="27"/>
      <c r="H76" s="27"/>
      <c r="I76" s="27"/>
      <c r="J76" s="27">
        <v>137.88300000000001</v>
      </c>
      <c r="K76" s="27">
        <v>137.964</v>
      </c>
      <c r="L76" s="27">
        <v>137.959</v>
      </c>
      <c r="M76" s="51">
        <v>137.922</v>
      </c>
      <c r="N76" s="49">
        <v>137.83000000000001</v>
      </c>
      <c r="O76" s="64">
        <v>137.864</v>
      </c>
      <c r="P76" s="60">
        <v>137.89099999999999</v>
      </c>
      <c r="Q76" s="60">
        <v>137.96700000000001</v>
      </c>
      <c r="R76" s="60">
        <v>137.94999999999999</v>
      </c>
      <c r="S76" s="60">
        <v>137.86699999999999</v>
      </c>
      <c r="T76" s="60">
        <v>137.899</v>
      </c>
      <c r="U76" s="60">
        <v>137.88800000000001</v>
      </c>
      <c r="V76" s="71">
        <v>138.001</v>
      </c>
      <c r="W76" s="115">
        <f t="shared" si="67"/>
        <v>137.82</v>
      </c>
      <c r="X76" s="27"/>
      <c r="Y76" s="27"/>
      <c r="Z76" s="29">
        <f t="shared" si="76"/>
        <v>7.5999999999993406E-2</v>
      </c>
      <c r="AA76" s="50">
        <f t="shared" si="77"/>
        <v>-0.12899999999999068</v>
      </c>
      <c r="AB76" s="62">
        <f t="shared" si="58"/>
        <v>6.0999999999978627E-2</v>
      </c>
      <c r="AC76" s="62">
        <f t="shared" si="74"/>
        <v>5.8999999999997499E-2</v>
      </c>
      <c r="AD76" s="62">
        <f t="shared" si="68"/>
        <v>-5.0999999999987722E-2</v>
      </c>
      <c r="AE76" s="62">
        <f t="shared" si="69"/>
        <v>0.10200000000000387</v>
      </c>
      <c r="AF76" s="81">
        <f t="shared" si="70"/>
        <v>-0.1810000000000116</v>
      </c>
      <c r="AG76" s="81">
        <f>(W76-J76)/7</f>
        <v>-9.0000000000023707E-3</v>
      </c>
      <c r="AH76" s="28"/>
      <c r="AI76" s="28"/>
      <c r="AJ76" s="29">
        <f t="shared" si="78"/>
        <v>-4.2000000000001592E-2</v>
      </c>
      <c r="AK76" s="62">
        <f t="shared" si="79"/>
        <v>-5.7999999999992724E-2</v>
      </c>
      <c r="AL76" s="62">
        <f t="shared" si="75"/>
        <v>0.10300000000000864</v>
      </c>
      <c r="AM76" s="62">
        <f t="shared" si="63"/>
        <v>-0.10000000000002274</v>
      </c>
      <c r="AN76" s="62">
        <f t="shared" si="71"/>
        <v>2.1000000000015007E-2</v>
      </c>
      <c r="AO76" s="61">
        <f t="shared" si="80"/>
        <v>-1.5199999999998682E-2</v>
      </c>
      <c r="AP76" s="62">
        <f t="shared" si="72"/>
        <v>0.11299999999999955</v>
      </c>
      <c r="AQ76" s="62">
        <f t="shared" si="73"/>
        <v>-6.8000000000012051E-2</v>
      </c>
      <c r="AR76"/>
    </row>
    <row r="77" spans="1:44" x14ac:dyDescent="0.25">
      <c r="A77" s="41" t="s">
        <v>39</v>
      </c>
      <c r="B77" s="60">
        <v>2197033.2030000002</v>
      </c>
      <c r="C77" s="60">
        <v>6077365.949</v>
      </c>
      <c r="D77" s="60">
        <v>189.483</v>
      </c>
      <c r="E77" s="43" t="s">
        <v>40</v>
      </c>
      <c r="F77" s="27"/>
      <c r="G77" s="27"/>
      <c r="H77" s="27"/>
      <c r="I77" s="27"/>
      <c r="J77" s="27">
        <v>189.839</v>
      </c>
      <c r="K77" s="27">
        <v>189.78399999999999</v>
      </c>
      <c r="L77" s="31">
        <v>189.93509999999998</v>
      </c>
      <c r="M77" s="51">
        <v>189.79599999999999</v>
      </c>
      <c r="N77" s="49">
        <v>189.67500000000001</v>
      </c>
      <c r="O77" s="60">
        <v>189.75200000000001</v>
      </c>
      <c r="P77" s="60">
        <v>189.547</v>
      </c>
      <c r="Q77" s="60">
        <v>189.65899999999999</v>
      </c>
      <c r="R77" s="60">
        <v>189.64</v>
      </c>
      <c r="S77" s="60">
        <v>189.63499999999999</v>
      </c>
      <c r="T77" s="60">
        <v>189.55799999999999</v>
      </c>
      <c r="U77" s="60">
        <v>189.61600000000001</v>
      </c>
      <c r="V77" s="71">
        <v>189.589</v>
      </c>
      <c r="W77" s="115">
        <f t="shared" si="67"/>
        <v>189.483</v>
      </c>
      <c r="X77" s="27"/>
      <c r="Y77" s="27"/>
      <c r="Z77" s="29">
        <f t="shared" si="76"/>
        <v>9.6099999999978536E-2</v>
      </c>
      <c r="AA77" s="50">
        <f t="shared" si="77"/>
        <v>-0.2600999999999658</v>
      </c>
      <c r="AB77" s="62">
        <f t="shared" si="58"/>
        <v>-0.12800000000001432</v>
      </c>
      <c r="AC77" s="62">
        <f t="shared" si="74"/>
        <v>9.2999999999989313E-2</v>
      </c>
      <c r="AD77" s="62">
        <f t="shared" si="68"/>
        <v>-8.1999999999993634E-2</v>
      </c>
      <c r="AE77" s="62">
        <f t="shared" si="69"/>
        <v>3.1000000000005912E-2</v>
      </c>
      <c r="AF77" s="81">
        <f t="shared" si="70"/>
        <v>-0.10599999999999454</v>
      </c>
      <c r="AG77" s="81">
        <f t="shared" ref="AG77:AG81" si="81">(W77-J77)/7</f>
        <v>-5.0857142857142081E-2</v>
      </c>
      <c r="AH77" s="28"/>
      <c r="AI77" s="28"/>
      <c r="AJ77" s="29">
        <f t="shared" si="78"/>
        <v>1.2000000000000455E-2</v>
      </c>
      <c r="AK77" s="62">
        <f t="shared" si="79"/>
        <v>-4.399999999998272E-2</v>
      </c>
      <c r="AL77" s="62">
        <f t="shared" si="75"/>
        <v>-9.3000000000017735E-2</v>
      </c>
      <c r="AM77" s="62">
        <f t="shared" si="63"/>
        <v>-2.4000000000000909E-2</v>
      </c>
      <c r="AN77" s="62">
        <f t="shared" si="71"/>
        <v>-1.8999999999977035E-2</v>
      </c>
      <c r="AO77" s="61">
        <f t="shared" si="80"/>
        <v>-3.3599999999995592E-2</v>
      </c>
      <c r="AP77" s="62">
        <f t="shared" si="72"/>
        <v>-2.7000000000015234E-2</v>
      </c>
      <c r="AQ77" s="62">
        <f t="shared" si="73"/>
        <v>-0.13300000000000978</v>
      </c>
      <c r="AR77"/>
    </row>
    <row r="78" spans="1:44" x14ac:dyDescent="0.25">
      <c r="A78" s="3" t="s">
        <v>41</v>
      </c>
      <c r="B78" s="60">
        <v>2143813.3879999998</v>
      </c>
      <c r="C78" s="60">
        <v>6133818.6600000001</v>
      </c>
      <c r="D78" s="60">
        <v>233.197</v>
      </c>
      <c r="E78" s="6" t="s">
        <v>42</v>
      </c>
      <c r="F78" s="27"/>
      <c r="G78" s="27"/>
      <c r="H78" s="27"/>
      <c r="I78" s="27"/>
      <c r="J78" s="27">
        <v>233.785</v>
      </c>
      <c r="K78" s="27">
        <v>233.55799999999999</v>
      </c>
      <c r="L78" s="27">
        <v>233.69300000000001</v>
      </c>
      <c r="M78" s="51">
        <v>233.54599999999999</v>
      </c>
      <c r="N78" s="49">
        <v>233.315</v>
      </c>
      <c r="O78" s="64">
        <v>233.44300000000001</v>
      </c>
      <c r="P78" s="60">
        <v>233.21799999999999</v>
      </c>
      <c r="Q78" s="60">
        <v>233.422</v>
      </c>
      <c r="R78" s="60">
        <v>233.43</v>
      </c>
      <c r="S78" s="60">
        <v>233.506</v>
      </c>
      <c r="T78" s="60">
        <v>233.31899999999999</v>
      </c>
      <c r="U78" s="60">
        <v>233.45500000000001</v>
      </c>
      <c r="V78" s="71">
        <v>233.376</v>
      </c>
      <c r="W78" s="115">
        <f t="shared" si="67"/>
        <v>233.197</v>
      </c>
      <c r="X78" s="27"/>
      <c r="Y78" s="27"/>
      <c r="Z78" s="29">
        <f t="shared" si="76"/>
        <v>-9.1999999999984539E-2</v>
      </c>
      <c r="AA78" s="50">
        <f t="shared" si="77"/>
        <v>-0.37800000000001432</v>
      </c>
      <c r="AB78" s="62">
        <f t="shared" si="58"/>
        <v>-9.7000000000008413E-2</v>
      </c>
      <c r="AC78" s="62">
        <f t="shared" si="74"/>
        <v>0.21200000000001751</v>
      </c>
      <c r="AD78" s="62">
        <f t="shared" si="68"/>
        <v>-0.11100000000001842</v>
      </c>
      <c r="AE78" s="62">
        <f t="shared" si="69"/>
        <v>5.7000000000016371E-2</v>
      </c>
      <c r="AF78" s="81">
        <f t="shared" si="70"/>
        <v>-0.17900000000000205</v>
      </c>
      <c r="AG78" s="81">
        <f t="shared" si="81"/>
        <v>-8.3999999999999117E-2</v>
      </c>
      <c r="AH78" s="28"/>
      <c r="AI78" s="28"/>
      <c r="AJ78" s="29">
        <f t="shared" si="78"/>
        <v>-1.2000000000000455E-2</v>
      </c>
      <c r="AK78" s="62">
        <f t="shared" si="79"/>
        <v>-0.10299999999998022</v>
      </c>
      <c r="AL78" s="62">
        <f t="shared" si="75"/>
        <v>-2.1000000000015007E-2</v>
      </c>
      <c r="AM78" s="62">
        <f t="shared" si="63"/>
        <v>8.4000000000003183E-2</v>
      </c>
      <c r="AN78" s="62">
        <f t="shared" si="71"/>
        <v>-5.0999999999987722E-2</v>
      </c>
      <c r="AO78" s="61">
        <f t="shared" si="80"/>
        <v>-2.0599999999996045E-2</v>
      </c>
      <c r="AP78" s="62">
        <f t="shared" si="72"/>
        <v>-7.9000000000007731E-2</v>
      </c>
      <c r="AQ78" s="62">
        <f t="shared" si="73"/>
        <v>-0.25800000000000978</v>
      </c>
      <c r="AR78"/>
    </row>
    <row r="79" spans="1:44" x14ac:dyDescent="0.25">
      <c r="A79" s="16" t="s">
        <v>114</v>
      </c>
      <c r="B79" s="100">
        <v>2143787.8369999998</v>
      </c>
      <c r="C79" s="100">
        <v>6458478.4519999996</v>
      </c>
      <c r="D79" s="100">
        <v>506.786</v>
      </c>
      <c r="E79" s="17" t="s">
        <v>112</v>
      </c>
      <c r="F79" s="27"/>
      <c r="G79" s="27"/>
      <c r="H79" s="27"/>
      <c r="I79" s="27"/>
      <c r="J79" s="27">
        <v>506.73200000000003</v>
      </c>
      <c r="K79" s="27">
        <v>506.84199999999998</v>
      </c>
      <c r="L79" s="27">
        <v>506.654</v>
      </c>
      <c r="M79" s="51">
        <v>507.14600000000002</v>
      </c>
      <c r="N79" s="49">
        <v>506.87299999999999</v>
      </c>
      <c r="O79" s="60">
        <v>506.88799999999998</v>
      </c>
      <c r="P79" s="60">
        <v>506.81099999999998</v>
      </c>
      <c r="Q79" s="60">
        <v>506.92700000000002</v>
      </c>
      <c r="R79" s="60">
        <v>506.86</v>
      </c>
      <c r="S79" s="60">
        <v>506.95400000000001</v>
      </c>
      <c r="T79" s="60">
        <v>506.64800000000002</v>
      </c>
      <c r="U79" s="60">
        <f>502.589+4.2</f>
        <v>506.78899999999999</v>
      </c>
      <c r="V79" s="71">
        <v>506.72399999999999</v>
      </c>
      <c r="W79" s="115">
        <f t="shared" si="67"/>
        <v>506.786</v>
      </c>
      <c r="X79" s="27"/>
      <c r="Y79" s="27"/>
      <c r="Z79" s="29">
        <f t="shared" si="76"/>
        <v>-7.8000000000031378E-2</v>
      </c>
      <c r="AA79" s="50">
        <f t="shared" si="77"/>
        <v>0.21899999999999409</v>
      </c>
      <c r="AB79" s="62">
        <f t="shared" ref="AB79:AB81" si="82">P79-N79</f>
        <v>-6.2000000000011823E-2</v>
      </c>
      <c r="AC79" s="62">
        <f t="shared" si="74"/>
        <v>4.9000000000035016E-2</v>
      </c>
      <c r="AD79" s="62">
        <f t="shared" si="68"/>
        <v>-0.21199999999998909</v>
      </c>
      <c r="AE79" s="62">
        <f t="shared" si="69"/>
        <v>7.5999999999964984E-2</v>
      </c>
      <c r="AF79" s="81">
        <f t="shared" si="70"/>
        <v>6.2000000000011823E-2</v>
      </c>
      <c r="AG79" s="81">
        <f t="shared" si="81"/>
        <v>7.7142857142819465E-3</v>
      </c>
      <c r="AH79" s="28"/>
      <c r="AI79" s="28"/>
      <c r="AJ79" s="29">
        <f t="shared" si="78"/>
        <v>0.30400000000003047</v>
      </c>
      <c r="AK79" s="62">
        <f t="shared" si="79"/>
        <v>-0.2580000000000382</v>
      </c>
      <c r="AL79" s="62">
        <f t="shared" si="75"/>
        <v>3.900000000004411E-2</v>
      </c>
      <c r="AM79" s="62">
        <f t="shared" si="63"/>
        <v>2.6999999999986812E-2</v>
      </c>
      <c r="AN79" s="62">
        <f t="shared" si="71"/>
        <v>-0.16500000000002046</v>
      </c>
      <c r="AO79" s="61">
        <f t="shared" si="80"/>
        <v>-1.0599999999999454E-2</v>
      </c>
      <c r="AP79" s="62">
        <f t="shared" si="72"/>
        <v>-6.4999999999997726E-2</v>
      </c>
      <c r="AQ79" s="62">
        <f t="shared" si="73"/>
        <v>-2.9999999999859028E-3</v>
      </c>
      <c r="AR79"/>
    </row>
    <row r="80" spans="1:44" x14ac:dyDescent="0.25">
      <c r="A80" s="3" t="s">
        <v>43</v>
      </c>
      <c r="B80" s="60">
        <v>2172507.699</v>
      </c>
      <c r="C80" s="60">
        <v>6031179.3049999997</v>
      </c>
      <c r="D80" s="60">
        <v>704.65200000000004</v>
      </c>
      <c r="E80" s="6" t="s">
        <v>44</v>
      </c>
      <c r="F80" s="27"/>
      <c r="G80" s="27"/>
      <c r="H80" s="27"/>
      <c r="I80" s="27"/>
      <c r="J80" s="27">
        <v>704.625</v>
      </c>
      <c r="K80" s="27">
        <v>704.49699999999996</v>
      </c>
      <c r="L80" s="27">
        <v>704.80899999999997</v>
      </c>
      <c r="M80" s="51">
        <v>704.64700000000005</v>
      </c>
      <c r="N80" s="49">
        <v>704.55899999999997</v>
      </c>
      <c r="O80" s="64">
        <v>704.75599999999997</v>
      </c>
      <c r="P80" s="60">
        <v>704.58799999999997</v>
      </c>
      <c r="Q80" s="60">
        <v>704.71400000000006</v>
      </c>
      <c r="R80" s="60">
        <v>704.62</v>
      </c>
      <c r="S80" s="60">
        <v>704.70899999999995</v>
      </c>
      <c r="T80" s="60">
        <v>704.59799999999996</v>
      </c>
      <c r="U80" s="60">
        <v>704.70600000000002</v>
      </c>
      <c r="V80" s="71">
        <v>704.63800000000003</v>
      </c>
      <c r="W80" s="115">
        <f t="shared" si="67"/>
        <v>704.65200000000004</v>
      </c>
      <c r="X80" s="27"/>
      <c r="Y80" s="27"/>
      <c r="Z80" s="29">
        <f t="shared" si="76"/>
        <v>0.18399999999996908</v>
      </c>
      <c r="AA80" s="50">
        <f t="shared" si="77"/>
        <v>-0.25</v>
      </c>
      <c r="AB80" s="62">
        <f t="shared" si="82"/>
        <v>2.8999999999996362E-2</v>
      </c>
      <c r="AC80" s="62">
        <f t="shared" si="74"/>
        <v>3.2000000000039108E-2</v>
      </c>
      <c r="AD80" s="62">
        <f t="shared" si="68"/>
        <v>-2.2000000000048203E-2</v>
      </c>
      <c r="AE80" s="62">
        <f t="shared" si="69"/>
        <v>4.0000000000077307E-2</v>
      </c>
      <c r="AF80" s="81">
        <f t="shared" si="70"/>
        <v>1.4000000000010004E-2</v>
      </c>
      <c r="AG80" s="81">
        <f t="shared" si="81"/>
        <v>3.8571428571490935E-3</v>
      </c>
      <c r="AH80" s="28"/>
      <c r="AI80" s="28"/>
      <c r="AJ80" s="29">
        <f t="shared" si="78"/>
        <v>0.15000000000009095</v>
      </c>
      <c r="AK80" s="62">
        <f t="shared" si="79"/>
        <v>0.1089999999999236</v>
      </c>
      <c r="AL80" s="62">
        <f t="shared" si="75"/>
        <v>-4.1999999999916326E-2</v>
      </c>
      <c r="AM80" s="62">
        <f t="shared" si="63"/>
        <v>-5.0000000001091394E-3</v>
      </c>
      <c r="AN80" s="62">
        <f t="shared" si="71"/>
        <v>-2.9999999999290594E-3</v>
      </c>
      <c r="AO80" s="61">
        <f t="shared" si="80"/>
        <v>4.1800000000012008E-2</v>
      </c>
      <c r="AP80" s="62">
        <f t="shared" si="72"/>
        <v>-6.7999999999983629E-2</v>
      </c>
      <c r="AQ80" s="62">
        <f t="shared" si="73"/>
        <v>-5.3999999999973625E-2</v>
      </c>
      <c r="AR80"/>
    </row>
    <row r="81" spans="1:46" x14ac:dyDescent="0.25">
      <c r="A81" s="41" t="s">
        <v>45</v>
      </c>
      <c r="B81" s="63">
        <v>2082514.8759999999</v>
      </c>
      <c r="C81" s="63">
        <v>6102978.8380000005</v>
      </c>
      <c r="D81" s="63">
        <v>1103.5889999999999</v>
      </c>
      <c r="E81" s="43" t="s">
        <v>46</v>
      </c>
      <c r="F81" s="27"/>
      <c r="G81" s="27"/>
      <c r="H81" s="27"/>
      <c r="I81" s="27"/>
      <c r="J81" s="27">
        <v>1103.636</v>
      </c>
      <c r="K81" s="27">
        <v>1103.492</v>
      </c>
      <c r="L81" s="27">
        <v>1103.6320000000001</v>
      </c>
      <c r="M81" s="51">
        <v>1103.691</v>
      </c>
      <c r="N81" s="49">
        <v>1103.568</v>
      </c>
      <c r="O81" s="60">
        <v>1103.854</v>
      </c>
      <c r="P81" s="60">
        <v>1103.665</v>
      </c>
      <c r="Q81" s="60">
        <v>1103.825</v>
      </c>
      <c r="R81" s="60">
        <v>1103.5999999999999</v>
      </c>
      <c r="S81" s="60">
        <v>1103.7840000000001</v>
      </c>
      <c r="T81" s="60">
        <v>1103.6600000000001</v>
      </c>
      <c r="U81" s="60">
        <v>1103.7170000000001</v>
      </c>
      <c r="V81" s="71"/>
      <c r="W81" s="115">
        <f t="shared" si="67"/>
        <v>1103.5889999999999</v>
      </c>
      <c r="X81" s="27"/>
      <c r="Y81" s="27"/>
      <c r="Z81" s="29">
        <f t="shared" si="76"/>
        <v>-3.9999999999054126E-3</v>
      </c>
      <c r="AA81" s="50">
        <f t="shared" si="77"/>
        <v>-6.4000000000078217E-2</v>
      </c>
      <c r="AB81" s="62">
        <f t="shared" si="82"/>
        <v>9.6999999999979991E-2</v>
      </c>
      <c r="AC81" s="62">
        <f t="shared" si="74"/>
        <v>-6.500000000005457E-2</v>
      </c>
      <c r="AD81" s="62">
        <f t="shared" si="68"/>
        <v>6.0000000000172804E-2</v>
      </c>
      <c r="AE81" s="62"/>
      <c r="AF81" s="81"/>
      <c r="AG81" s="81">
        <f t="shared" si="81"/>
        <v>-6.714285714289352E-3</v>
      </c>
      <c r="AH81" s="28"/>
      <c r="AI81" s="28"/>
      <c r="AJ81" s="29">
        <f t="shared" si="78"/>
        <v>0.19900000000006912</v>
      </c>
      <c r="AK81" s="62">
        <f t="shared" si="79"/>
        <v>0.16300000000001091</v>
      </c>
      <c r="AL81" s="62">
        <f t="shared" si="75"/>
        <v>-2.8999999999996362E-2</v>
      </c>
      <c r="AM81" s="62">
        <f t="shared" si="63"/>
        <v>-4.0999999999939973E-2</v>
      </c>
      <c r="AN81" s="62">
        <f t="shared" si="71"/>
        <v>-6.7000000000007276E-2</v>
      </c>
      <c r="AO81" s="61">
        <f t="shared" si="80"/>
        <v>4.5000000000027282E-2</v>
      </c>
      <c r="AP81" s="62"/>
      <c r="AQ81" s="62">
        <f t="shared" si="73"/>
        <v>-0.12800000000015643</v>
      </c>
      <c r="AR81"/>
    </row>
    <row r="82" spans="1:46" s="78" customFormat="1" x14ac:dyDescent="0.25">
      <c r="A82" s="70" t="s">
        <v>96</v>
      </c>
      <c r="B82" s="60">
        <v>2343309.213</v>
      </c>
      <c r="C82" s="60">
        <v>5956829.3150000004</v>
      </c>
      <c r="D82" s="60">
        <v>183.184</v>
      </c>
      <c r="E82" s="72" t="s">
        <v>47</v>
      </c>
      <c r="F82" s="71"/>
      <c r="G82" s="71"/>
      <c r="H82" s="71"/>
      <c r="I82" s="71"/>
      <c r="J82" s="71">
        <v>183.255</v>
      </c>
      <c r="K82" s="71">
        <v>183.477</v>
      </c>
      <c r="L82" s="71">
        <v>183.39099999999999</v>
      </c>
      <c r="M82" s="82">
        <v>183.34</v>
      </c>
      <c r="N82" s="71">
        <v>183.29400000000001</v>
      </c>
      <c r="O82" s="82">
        <v>183.19499999999999</v>
      </c>
      <c r="P82" s="71"/>
      <c r="Q82" s="60">
        <v>183.32400000000001</v>
      </c>
      <c r="R82" s="60">
        <v>183.31</v>
      </c>
      <c r="S82" s="60">
        <v>183.137</v>
      </c>
      <c r="T82" s="60">
        <v>183.262</v>
      </c>
      <c r="U82" s="60">
        <v>183.184</v>
      </c>
      <c r="V82" s="71">
        <v>183.285</v>
      </c>
      <c r="W82" s="115">
        <f t="shared" si="67"/>
        <v>183.184</v>
      </c>
      <c r="X82" s="71"/>
      <c r="Y82" s="71"/>
      <c r="Z82" s="79">
        <f t="shared" si="76"/>
        <v>0.13599999999999568</v>
      </c>
      <c r="AA82" s="79">
        <f t="shared" si="77"/>
        <v>-9.6999999999979991E-2</v>
      </c>
      <c r="AB82" s="79"/>
      <c r="AC82" s="62" t="s">
        <v>100</v>
      </c>
      <c r="AD82" s="62">
        <f t="shared" si="68"/>
        <v>-4.8000000000001819E-2</v>
      </c>
      <c r="AE82" s="62">
        <f t="shared" si="69"/>
        <v>2.2999999999996135E-2</v>
      </c>
      <c r="AF82" s="81">
        <f t="shared" si="70"/>
        <v>-0.10099999999999909</v>
      </c>
      <c r="AG82" s="81">
        <f>(W82-J82)/7</f>
        <v>-1.0142857142856851E-2</v>
      </c>
      <c r="AH82" s="81"/>
      <c r="AI82" s="81"/>
      <c r="AJ82" s="79">
        <f t="shared" si="78"/>
        <v>-0.13700000000000045</v>
      </c>
      <c r="AK82" s="79">
        <f t="shared" si="79"/>
        <v>-0.14500000000001023</v>
      </c>
      <c r="AL82" s="62">
        <f t="shared" si="75"/>
        <v>0.1290000000000191</v>
      </c>
      <c r="AM82" s="62">
        <f t="shared" si="63"/>
        <v>-0.18700000000001182</v>
      </c>
      <c r="AN82" s="62">
        <f t="shared" si="71"/>
        <v>4.6999999999997044E-2</v>
      </c>
      <c r="AO82" s="61">
        <f t="shared" si="80"/>
        <v>-5.8600000000001276E-2</v>
      </c>
      <c r="AP82" s="62">
        <f t="shared" si="72"/>
        <v>0.10099999999999909</v>
      </c>
      <c r="AQ82" s="62">
        <f t="shared" si="73"/>
        <v>0</v>
      </c>
    </row>
    <row r="83" spans="1:46" x14ac:dyDescent="0.25">
      <c r="AP83"/>
      <c r="AQ83" s="58"/>
      <c r="AR83"/>
    </row>
    <row r="84" spans="1:46" s="20" customFormat="1" x14ac:dyDescent="0.25">
      <c r="A84" s="11">
        <v>-0.15</v>
      </c>
      <c r="B84" s="20" t="s">
        <v>93</v>
      </c>
      <c r="M84" s="42"/>
      <c r="N84" s="48"/>
      <c r="O84" s="58"/>
      <c r="P84" s="58"/>
      <c r="Q84" s="58"/>
      <c r="R84" s="58"/>
      <c r="S84" s="58"/>
      <c r="T84" s="58"/>
      <c r="U84" s="58"/>
      <c r="V84" s="78"/>
      <c r="W84" s="78"/>
      <c r="AB84" s="58"/>
      <c r="AC84" s="58"/>
      <c r="AD84" s="58"/>
      <c r="AE84" s="58"/>
      <c r="AF84" s="58"/>
      <c r="AG84" s="58"/>
      <c r="AH84" s="44"/>
      <c r="AJ84" s="42"/>
      <c r="AK84" s="58"/>
      <c r="AL84" s="58"/>
      <c r="AM84" s="58"/>
      <c r="AN84" s="44"/>
      <c r="AO84" s="58"/>
      <c r="AQ84" s="58"/>
    </row>
    <row r="85" spans="1:46" s="20" customFormat="1" x14ac:dyDescent="0.25">
      <c r="A85" s="2"/>
      <c r="E85" s="1"/>
      <c r="M85" s="42"/>
      <c r="N85" s="48"/>
      <c r="O85" s="58"/>
      <c r="P85" s="58"/>
      <c r="Q85" s="58"/>
      <c r="R85" s="58"/>
      <c r="S85" s="58"/>
      <c r="T85" s="58"/>
      <c r="U85" s="58"/>
      <c r="V85" s="78"/>
      <c r="W85" s="78"/>
      <c r="AB85" s="58"/>
      <c r="AC85" s="58"/>
      <c r="AD85" s="58"/>
      <c r="AE85" s="58"/>
      <c r="AF85" s="58"/>
      <c r="AG85" s="58"/>
      <c r="AH85" s="44"/>
      <c r="AJ85" s="42"/>
      <c r="AK85" s="58"/>
      <c r="AL85" s="58"/>
      <c r="AM85" s="58"/>
      <c r="AN85" s="44"/>
      <c r="AO85" s="58"/>
      <c r="AP85" s="7"/>
      <c r="AQ85" s="7"/>
      <c r="AR85" s="8"/>
      <c r="AS85" s="8"/>
      <c r="AT85" s="7"/>
    </row>
    <row r="86" spans="1:46" s="20" customFormat="1" x14ac:dyDescent="0.25">
      <c r="A86" s="18"/>
      <c r="B86" s="58" t="s">
        <v>106</v>
      </c>
      <c r="M86" s="42"/>
      <c r="N86" s="48"/>
      <c r="O86" s="58"/>
      <c r="P86" s="58"/>
      <c r="Q86" s="58"/>
      <c r="R86" s="58"/>
      <c r="S86" s="58"/>
      <c r="T86" s="58"/>
      <c r="U86" s="58"/>
      <c r="V86" s="78"/>
      <c r="W86" s="78"/>
      <c r="AB86" s="58"/>
      <c r="AC86" s="58"/>
      <c r="AD86" s="58"/>
      <c r="AE86" s="58"/>
      <c r="AF86" s="58"/>
      <c r="AG86" s="58"/>
      <c r="AH86" s="44"/>
      <c r="AI86" s="19"/>
      <c r="AJ86" s="19"/>
      <c r="AK86" s="19"/>
      <c r="AL86" s="19"/>
      <c r="AM86" s="19"/>
      <c r="AN86" s="19"/>
      <c r="AO86" s="19"/>
      <c r="AQ86" s="58"/>
    </row>
    <row r="87" spans="1:46" s="20" customFormat="1" x14ac:dyDescent="0.25">
      <c r="A87" s="2"/>
      <c r="B87" s="35" t="s">
        <v>87</v>
      </c>
      <c r="M87" s="42"/>
      <c r="N87" s="48"/>
      <c r="O87" s="58"/>
      <c r="P87" s="58"/>
      <c r="Q87" s="58"/>
      <c r="R87" s="58"/>
      <c r="S87" s="58"/>
      <c r="T87" s="58"/>
      <c r="U87" s="58"/>
      <c r="V87" s="78"/>
      <c r="W87" s="78"/>
      <c r="AB87" s="58"/>
      <c r="AC87" s="58"/>
      <c r="AD87" s="58"/>
      <c r="AE87" s="58"/>
      <c r="AF87" s="58"/>
      <c r="AG87" s="58"/>
      <c r="AH87" s="44"/>
      <c r="AJ87" s="42"/>
      <c r="AK87" s="58"/>
      <c r="AL87" s="58"/>
      <c r="AM87" s="58"/>
      <c r="AN87" s="44"/>
      <c r="AO87" s="58"/>
      <c r="AQ87" s="58"/>
    </row>
    <row r="88" spans="1:46" s="58" customFormat="1" x14ac:dyDescent="0.25">
      <c r="A88" s="2"/>
      <c r="B88" s="66" t="s">
        <v>110</v>
      </c>
      <c r="V88" s="78"/>
      <c r="W88" s="78"/>
    </row>
    <row r="89" spans="1:46" s="20" customFormat="1" x14ac:dyDescent="0.25">
      <c r="A89" s="2"/>
      <c r="B89" s="35" t="s">
        <v>88</v>
      </c>
      <c r="M89" s="42"/>
      <c r="N89" s="48"/>
      <c r="O89" s="58"/>
      <c r="P89" s="58"/>
      <c r="Q89" s="58"/>
      <c r="R89" s="58"/>
      <c r="S89" s="58"/>
      <c r="T89" s="58"/>
      <c r="U89" s="58"/>
      <c r="V89" s="78"/>
      <c r="W89" s="78"/>
      <c r="AB89" s="58"/>
      <c r="AC89" s="58"/>
      <c r="AD89" s="58"/>
      <c r="AE89" s="58"/>
      <c r="AF89" s="58"/>
      <c r="AG89" s="58"/>
      <c r="AH89" s="44"/>
      <c r="AJ89" s="42"/>
      <c r="AK89" s="58"/>
      <c r="AL89" s="58"/>
      <c r="AM89" s="58"/>
      <c r="AN89" s="44"/>
      <c r="AO89" s="58"/>
      <c r="AQ89" s="58"/>
    </row>
    <row r="90" spans="1:46" s="20" customFormat="1" x14ac:dyDescent="0.25">
      <c r="A90" s="2"/>
      <c r="B90" s="35" t="s">
        <v>89</v>
      </c>
      <c r="M90" s="42"/>
      <c r="N90" s="48"/>
      <c r="O90" s="58"/>
      <c r="P90" s="58"/>
      <c r="Q90" s="58"/>
      <c r="R90" s="58"/>
      <c r="S90" s="58"/>
      <c r="T90" s="58"/>
      <c r="U90" s="58"/>
      <c r="V90" s="78"/>
      <c r="W90" s="78"/>
      <c r="AB90" s="58"/>
      <c r="AC90" s="58"/>
      <c r="AD90" s="58"/>
      <c r="AE90" s="58"/>
      <c r="AF90" s="58"/>
      <c r="AG90" s="58"/>
      <c r="AH90" s="44"/>
      <c r="AJ90" s="42"/>
      <c r="AK90" s="58"/>
      <c r="AL90" s="58"/>
      <c r="AM90" s="58"/>
      <c r="AN90" s="44"/>
      <c r="AO90" s="58"/>
      <c r="AQ90" s="58"/>
    </row>
    <row r="91" spans="1:46" s="20" customFormat="1" x14ac:dyDescent="0.25">
      <c r="A91" s="2"/>
      <c r="B91" s="35" t="s">
        <v>90</v>
      </c>
      <c r="M91" s="42"/>
      <c r="N91" s="48"/>
      <c r="O91" s="58"/>
      <c r="P91" s="58"/>
      <c r="Q91" s="58"/>
      <c r="R91" s="58"/>
      <c r="S91" s="58"/>
      <c r="T91" s="58"/>
      <c r="U91" s="58"/>
      <c r="V91" s="78"/>
      <c r="W91" s="78"/>
      <c r="AB91" s="58"/>
      <c r="AC91" s="58"/>
      <c r="AD91" s="58"/>
      <c r="AE91" s="58"/>
      <c r="AF91" s="58"/>
      <c r="AG91" s="58"/>
      <c r="AH91" s="44"/>
      <c r="AJ91" s="42"/>
      <c r="AK91" s="58"/>
      <c r="AL91" s="58"/>
      <c r="AM91" s="58"/>
      <c r="AN91" s="44"/>
      <c r="AO91" s="58"/>
      <c r="AQ91" s="58"/>
    </row>
    <row r="92" spans="1:46" s="58" customFormat="1" x14ac:dyDescent="0.25">
      <c r="A92" s="2"/>
      <c r="B92" s="66" t="s">
        <v>105</v>
      </c>
      <c r="V92" s="78"/>
      <c r="W92" s="78"/>
    </row>
    <row r="93" spans="1:46" x14ac:dyDescent="0.25">
      <c r="AP93"/>
      <c r="AQ93" s="58"/>
      <c r="AR93"/>
    </row>
    <row r="94" spans="1:46" x14ac:dyDescent="0.25">
      <c r="A94" s="56"/>
      <c r="B94" s="52" t="s">
        <v>124</v>
      </c>
      <c r="AP94"/>
      <c r="AQ94" s="58"/>
      <c r="AR94"/>
    </row>
    <row r="95" spans="1:46" x14ac:dyDescent="0.25">
      <c r="AP95"/>
      <c r="AQ95" s="58"/>
      <c r="AR95"/>
    </row>
    <row r="96" spans="1:46" x14ac:dyDescent="0.25">
      <c r="A96" s="83"/>
      <c r="B96" s="66" t="s">
        <v>107</v>
      </c>
      <c r="C96" s="58"/>
      <c r="AP96"/>
      <c r="AQ96" s="58"/>
      <c r="AR96"/>
    </row>
    <row r="97" spans="42:44" x14ac:dyDescent="0.25">
      <c r="AP97"/>
      <c r="AQ97" s="58"/>
      <c r="AR97"/>
    </row>
    <row r="98" spans="42:44" x14ac:dyDescent="0.25">
      <c r="AP98"/>
      <c r="AQ98" s="58"/>
      <c r="AR98"/>
    </row>
    <row r="99" spans="42:44" x14ac:dyDescent="0.25">
      <c r="AP99"/>
      <c r="AQ99" s="58"/>
      <c r="AR99"/>
    </row>
    <row r="100" spans="42:44" x14ac:dyDescent="0.25">
      <c r="AP100"/>
      <c r="AQ100" s="58"/>
      <c r="AR100"/>
    </row>
    <row r="101" spans="42:44" x14ac:dyDescent="0.25">
      <c r="AP101"/>
      <c r="AQ101" s="58"/>
      <c r="AR101"/>
    </row>
    <row r="102" spans="42:44" x14ac:dyDescent="0.25">
      <c r="AP102"/>
      <c r="AQ102" s="58"/>
      <c r="AR102"/>
    </row>
    <row r="103" spans="42:44" x14ac:dyDescent="0.25">
      <c r="AP103"/>
      <c r="AQ103" s="58"/>
      <c r="AR103"/>
    </row>
    <row r="104" spans="42:44" x14ac:dyDescent="0.25">
      <c r="AP104"/>
      <c r="AQ104" s="58"/>
      <c r="AR104"/>
    </row>
    <row r="105" spans="42:44" x14ac:dyDescent="0.25">
      <c r="AP105"/>
      <c r="AQ105" s="58"/>
      <c r="AR105"/>
    </row>
    <row r="106" spans="42:44" x14ac:dyDescent="0.25">
      <c r="AP106"/>
      <c r="AQ106" s="58"/>
      <c r="AR106"/>
    </row>
    <row r="107" spans="42:44" x14ac:dyDescent="0.25">
      <c r="AP107"/>
      <c r="AQ107" s="58"/>
      <c r="AR107"/>
    </row>
    <row r="108" spans="42:44" x14ac:dyDescent="0.25">
      <c r="AP108"/>
      <c r="AQ108" s="58"/>
      <c r="AR108"/>
    </row>
    <row r="109" spans="42:44" x14ac:dyDescent="0.25">
      <c r="AP109"/>
      <c r="AQ109" s="58"/>
      <c r="AR109"/>
    </row>
    <row r="110" spans="42:44" x14ac:dyDescent="0.25">
      <c r="AP110"/>
      <c r="AQ110" s="58"/>
      <c r="AR110"/>
    </row>
    <row r="111" spans="42:44" x14ac:dyDescent="0.25">
      <c r="AP111"/>
      <c r="AQ111" s="58"/>
      <c r="AR111"/>
    </row>
    <row r="112" spans="42:44" x14ac:dyDescent="0.25">
      <c r="AP112"/>
      <c r="AQ112" s="58"/>
      <c r="AR112"/>
    </row>
    <row r="113" spans="42:44" x14ac:dyDescent="0.25">
      <c r="AP113"/>
      <c r="AQ113" s="58"/>
      <c r="AR113"/>
    </row>
    <row r="114" spans="42:44" x14ac:dyDescent="0.25">
      <c r="AP114"/>
      <c r="AQ114" s="58"/>
      <c r="AR114"/>
    </row>
    <row r="115" spans="42:44" x14ac:dyDescent="0.25">
      <c r="AP115"/>
      <c r="AQ115" s="58"/>
      <c r="AR115"/>
    </row>
    <row r="116" spans="42:44" x14ac:dyDescent="0.25">
      <c r="AP116"/>
      <c r="AQ116" s="58"/>
      <c r="AR116"/>
    </row>
    <row r="117" spans="42:44" x14ac:dyDescent="0.25">
      <c r="AP117"/>
      <c r="AQ117" s="58"/>
      <c r="AR117"/>
    </row>
    <row r="118" spans="42:44" x14ac:dyDescent="0.25">
      <c r="AP118"/>
      <c r="AQ118" s="58"/>
      <c r="AR118"/>
    </row>
    <row r="119" spans="42:44" x14ac:dyDescent="0.25">
      <c r="AP119"/>
      <c r="AQ119" s="58"/>
      <c r="AR119"/>
    </row>
  </sheetData>
  <autoFilter ref="A1:AP82" xr:uid="{00000000-0009-0000-0000-000001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hiddenButton="1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hiddenButton="1" showButton="0"/>
    <filterColumn colId="33" showButton="0"/>
  </autoFilter>
  <mergeCells count="13">
    <mergeCell ref="B25:D25"/>
    <mergeCell ref="B28:D28"/>
    <mergeCell ref="B33:D33"/>
    <mergeCell ref="B63:C63"/>
    <mergeCell ref="B18:D18"/>
    <mergeCell ref="A1:AI1"/>
    <mergeCell ref="A2:AI2"/>
    <mergeCell ref="F3:L3"/>
    <mergeCell ref="B4:C4"/>
    <mergeCell ref="B3:D3"/>
    <mergeCell ref="X3:AF3"/>
    <mergeCell ref="F4:V4"/>
    <mergeCell ref="AH3:AP3"/>
  </mergeCells>
  <pageMargins left="0.25" right="0.25" top="0.5" bottom="0.5" header="0.3" footer="0.3"/>
  <pageSetup paperSize="3" scale="51" orientation="landscape" verticalDpi="4" r:id="rId1"/>
  <ignoredErrors>
    <ignoredError sqref="AO12 W55 W5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Const Adj</vt:lpstr>
      <vt:lpstr>Free Adj</vt:lpstr>
      <vt:lpstr>'Const Adj'!Print_Area</vt:lpstr>
      <vt:lpstr>'Free Adj'!Print_Area</vt:lpstr>
      <vt:lpstr>'Const Adj'!Print_Titles</vt:lpstr>
      <vt:lpstr>'Free Adj'!Print_Titles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Morberg, Mark</dc:creator>
  <cp:lastModifiedBy>Perigny, Matthew T</cp:lastModifiedBy>
  <cp:lastPrinted>2019-01-04T18:38:52Z</cp:lastPrinted>
  <dcterms:created xsi:type="dcterms:W3CDTF">2014-07-10T16:04:01Z</dcterms:created>
  <dcterms:modified xsi:type="dcterms:W3CDTF">2021-02-05T00:44:52Z</dcterms:modified>
</cp:coreProperties>
</file>