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220725 Subsidence Survey\"/>
    </mc:Choice>
  </mc:AlternateContent>
  <xr:revisionPtr revIDLastSave="0" documentId="13_ncr:1_{0AB8713E-9C9D-42B8-A5EB-9F66360C4397}" xr6:coauthVersionLast="47" xr6:coauthVersionMax="47" xr10:uidLastSave="{00000000-0000-0000-0000-000000000000}"/>
  <bookViews>
    <workbookView xWindow="-108" yWindow="-108" windowWidth="23256" windowHeight="12576" tabRatio="433" xr2:uid="{00000000-000D-0000-FFFF-FFFF00000000}"/>
  </bookViews>
  <sheets>
    <sheet name="Const Adj" sheetId="1" r:id="rId1"/>
    <sheet name="Free Adj" sheetId="3" r:id="rId2"/>
  </sheets>
  <definedNames>
    <definedName name="_xlnm._FilterDatabase" localSheetId="1" hidden="1">'Free Adj'!$A$1:$AX$83</definedName>
    <definedName name="_xlnm.Print_Area" localSheetId="1">'Free Adj'!$A$6:$AX$97</definedName>
    <definedName name="_xlnm.Print_Titles" localSheetId="0">'Const Adj'!$1:$5</definedName>
    <definedName name="_xlnm.Print_Titles" localSheetId="1">'Free Adj'!$1:$5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P63" i="1" l="1"/>
  <c r="AZ64" i="1"/>
  <c r="AZ65" i="1"/>
  <c r="AZ66" i="1"/>
  <c r="AZ67" i="1"/>
  <c r="AZ68" i="1"/>
  <c r="AZ69" i="1"/>
  <c r="AZ70" i="1"/>
  <c r="AZ71" i="1"/>
  <c r="AZ72" i="1"/>
  <c r="AZ73" i="1"/>
  <c r="AZ74" i="1"/>
  <c r="AZ36" i="1"/>
  <c r="AC51" i="3"/>
  <c r="AY51" i="3" s="1"/>
  <c r="AX83" i="3"/>
  <c r="AX82" i="3"/>
  <c r="AX81" i="3"/>
  <c r="AX80" i="3"/>
  <c r="AX79" i="3"/>
  <c r="AX77" i="3"/>
  <c r="AX76" i="3"/>
  <c r="AX75" i="3"/>
  <c r="AX74" i="3"/>
  <c r="AX73" i="3"/>
  <c r="AX72" i="3"/>
  <c r="AX71" i="3"/>
  <c r="AX70" i="3"/>
  <c r="AX69" i="3"/>
  <c r="AX68" i="3"/>
  <c r="AX67" i="3"/>
  <c r="AX66" i="3"/>
  <c r="AX65" i="3"/>
  <c r="AX64" i="3"/>
  <c r="AX63" i="3"/>
  <c r="AX62" i="3"/>
  <c r="AX61" i="3"/>
  <c r="AX60" i="3"/>
  <c r="AX59" i="3"/>
  <c r="AX58" i="3"/>
  <c r="AX57" i="3"/>
  <c r="AX56" i="3"/>
  <c r="AX55" i="3"/>
  <c r="AX54" i="3"/>
  <c r="AX53" i="3"/>
  <c r="AX52" i="3"/>
  <c r="AX50" i="3"/>
  <c r="AX49" i="3"/>
  <c r="AX48" i="3"/>
  <c r="AX47" i="3"/>
  <c r="AX46" i="3"/>
  <c r="AX45" i="3"/>
  <c r="AX44" i="3"/>
  <c r="AX43" i="3"/>
  <c r="AX42" i="3"/>
  <c r="AX41" i="3"/>
  <c r="AX40" i="3"/>
  <c r="AX39" i="3"/>
  <c r="AX38" i="3"/>
  <c r="AX37" i="3"/>
  <c r="AX36" i="3"/>
  <c r="AX35" i="3"/>
  <c r="AX34" i="3"/>
  <c r="AX32" i="3"/>
  <c r="AX31" i="3"/>
  <c r="AX30" i="3"/>
  <c r="AX29" i="3"/>
  <c r="AX27" i="3"/>
  <c r="AX26" i="3"/>
  <c r="AX24" i="3"/>
  <c r="AX23" i="3"/>
  <c r="AX22" i="3"/>
  <c r="AX21" i="3"/>
  <c r="AX20" i="3"/>
  <c r="AX19" i="3"/>
  <c r="AX17" i="3"/>
  <c r="AX16" i="3"/>
  <c r="AX15" i="3"/>
  <c r="AX14" i="3"/>
  <c r="AX13" i="3"/>
  <c r="AX12" i="3"/>
  <c r="AX11" i="3"/>
  <c r="AX10" i="3"/>
  <c r="AX9" i="3"/>
  <c r="AX8" i="3"/>
  <c r="AX7" i="3"/>
  <c r="AX6" i="3"/>
  <c r="AY83" i="3"/>
  <c r="AY82" i="3"/>
  <c r="AY81" i="3"/>
  <c r="AY80" i="3"/>
  <c r="AY79" i="3"/>
  <c r="AY78" i="3"/>
  <c r="AY77" i="3"/>
  <c r="AY76" i="3"/>
  <c r="AY75" i="3"/>
  <c r="AY74" i="3"/>
  <c r="AY73" i="3"/>
  <c r="AY72" i="3"/>
  <c r="AY71" i="3"/>
  <c r="AY70" i="3"/>
  <c r="AY69" i="3"/>
  <c r="AY68" i="3"/>
  <c r="AY67" i="3"/>
  <c r="AY66" i="3"/>
  <c r="AY65" i="3"/>
  <c r="AY64" i="3"/>
  <c r="AY62" i="3"/>
  <c r="AY61" i="3"/>
  <c r="AY60" i="3"/>
  <c r="AY59" i="3"/>
  <c r="AY58" i="3"/>
  <c r="AY57" i="3"/>
  <c r="AY56" i="3"/>
  <c r="AY55" i="3"/>
  <c r="AY54" i="3"/>
  <c r="AY53" i="3"/>
  <c r="AY52" i="3"/>
  <c r="AY50" i="3"/>
  <c r="AY49" i="3"/>
  <c r="AY48" i="3"/>
  <c r="AY47" i="3"/>
  <c r="AY46" i="3"/>
  <c r="AY45" i="3"/>
  <c r="AY44" i="3"/>
  <c r="AY43" i="3"/>
  <c r="AY42" i="3"/>
  <c r="AY41" i="3"/>
  <c r="AY40" i="3"/>
  <c r="AY39" i="3"/>
  <c r="AY38" i="3"/>
  <c r="AY37" i="3"/>
  <c r="AY36" i="3"/>
  <c r="AY35" i="3"/>
  <c r="AY34" i="3"/>
  <c r="AY32" i="3"/>
  <c r="AY31" i="3"/>
  <c r="AY30" i="3"/>
  <c r="AY29" i="3"/>
  <c r="AY27" i="3"/>
  <c r="AY26" i="3"/>
  <c r="AY24" i="3"/>
  <c r="AY23" i="3"/>
  <c r="AY22" i="3"/>
  <c r="AY21" i="3"/>
  <c r="AY20" i="3"/>
  <c r="AY19" i="3"/>
  <c r="AY17" i="3"/>
  <c r="AY16" i="3"/>
  <c r="AY15" i="3"/>
  <c r="AY14" i="3"/>
  <c r="AY13" i="3"/>
  <c r="AY12" i="3"/>
  <c r="AY11" i="3"/>
  <c r="AY10" i="3"/>
  <c r="AY9" i="3"/>
  <c r="AY8" i="3"/>
  <c r="AY7" i="3"/>
  <c r="AY6" i="3"/>
  <c r="AE61" i="3"/>
  <c r="AE60" i="3"/>
  <c r="AZ60" i="3" s="1"/>
  <c r="AE59" i="3"/>
  <c r="AE55" i="3"/>
  <c r="AZ55" i="3" s="1"/>
  <c r="AE51" i="3"/>
  <c r="AZ51" i="3" s="1"/>
  <c r="AZ7" i="3"/>
  <c r="AZ8" i="3"/>
  <c r="AZ9" i="3"/>
  <c r="AZ10" i="3"/>
  <c r="AZ11" i="3"/>
  <c r="AZ12" i="3"/>
  <c r="AZ13" i="3"/>
  <c r="AZ14" i="3"/>
  <c r="AZ15" i="3"/>
  <c r="AZ16" i="3"/>
  <c r="AZ17" i="3"/>
  <c r="AZ19" i="3"/>
  <c r="AZ20" i="3"/>
  <c r="AZ21" i="3"/>
  <c r="AZ22" i="3"/>
  <c r="AZ23" i="3"/>
  <c r="AZ24" i="3"/>
  <c r="AZ26" i="3"/>
  <c r="AZ27" i="3"/>
  <c r="AZ29" i="3"/>
  <c r="AZ30" i="3"/>
  <c r="AZ31" i="3"/>
  <c r="AZ32" i="3"/>
  <c r="AZ34" i="3"/>
  <c r="AZ35" i="3"/>
  <c r="AZ36" i="3"/>
  <c r="AZ37" i="3"/>
  <c r="AZ38" i="3"/>
  <c r="AZ39" i="3"/>
  <c r="AZ40" i="3"/>
  <c r="AZ41" i="3"/>
  <c r="AZ42" i="3"/>
  <c r="AZ43" i="3"/>
  <c r="AZ44" i="3"/>
  <c r="AZ45" i="3"/>
  <c r="AZ46" i="3"/>
  <c r="AZ47" i="3"/>
  <c r="AZ48" i="3"/>
  <c r="AZ49" i="3"/>
  <c r="AZ50" i="3"/>
  <c r="AZ52" i="3"/>
  <c r="AZ53" i="3"/>
  <c r="AZ54" i="3"/>
  <c r="AZ56" i="3"/>
  <c r="AZ57" i="3"/>
  <c r="AZ58" i="3"/>
  <c r="AZ59" i="3"/>
  <c r="AZ61" i="3"/>
  <c r="AZ62" i="3"/>
  <c r="AZ64" i="3"/>
  <c r="AZ65" i="3"/>
  <c r="AZ66" i="3"/>
  <c r="AZ67" i="3"/>
  <c r="AZ68" i="3"/>
  <c r="AZ69" i="3"/>
  <c r="AZ70" i="3"/>
  <c r="AZ71" i="3"/>
  <c r="AZ72" i="3"/>
  <c r="AZ73" i="3"/>
  <c r="AZ74" i="3"/>
  <c r="AZ75" i="3"/>
  <c r="AZ76" i="3"/>
  <c r="AZ77" i="3"/>
  <c r="AZ78" i="3"/>
  <c r="AZ79" i="3"/>
  <c r="AZ80" i="3"/>
  <c r="AZ81" i="3"/>
  <c r="AZ82" i="3"/>
  <c r="AZ83" i="3"/>
  <c r="AZ6" i="3"/>
  <c r="AO83" i="1"/>
  <c r="AO82" i="1"/>
  <c r="AO81" i="1"/>
  <c r="AO80" i="1"/>
  <c r="AO79" i="1"/>
  <c r="AO77" i="1"/>
  <c r="AO76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2" i="1"/>
  <c r="AO31" i="1"/>
  <c r="AO30" i="1"/>
  <c r="AO29" i="1"/>
  <c r="AO27" i="1"/>
  <c r="AO26" i="1"/>
  <c r="AO24" i="1"/>
  <c r="AO23" i="1"/>
  <c r="AO22" i="1"/>
  <c r="AO21" i="1"/>
  <c r="AO20" i="1"/>
  <c r="AO19" i="1"/>
  <c r="AO17" i="1"/>
  <c r="AO16" i="1"/>
  <c r="AO15" i="1"/>
  <c r="AO14" i="1"/>
  <c r="AO13" i="1"/>
  <c r="AO12" i="1"/>
  <c r="AO11" i="1"/>
  <c r="AO10" i="1"/>
  <c r="AO9" i="1"/>
  <c r="AO8" i="1"/>
  <c r="AO7" i="1"/>
  <c r="AO6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24" i="1"/>
  <c r="AP23" i="1"/>
  <c r="AP22" i="1"/>
  <c r="AP21" i="1"/>
  <c r="AP20" i="1"/>
  <c r="AP19" i="1"/>
  <c r="AP27" i="1"/>
  <c r="AP26" i="1"/>
  <c r="AP32" i="1"/>
  <c r="AP31" i="1"/>
  <c r="AP30" i="1"/>
  <c r="AP29" i="1"/>
  <c r="AP62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83" i="1"/>
  <c r="AP82" i="1"/>
  <c r="AP81" i="1"/>
  <c r="AP80" i="1"/>
  <c r="AP79" i="1"/>
  <c r="AP77" i="1"/>
  <c r="AP76" i="1"/>
  <c r="AP75" i="1"/>
  <c r="AP74" i="1"/>
  <c r="AP73" i="1"/>
  <c r="AP72" i="1"/>
  <c r="AP71" i="1"/>
  <c r="AP70" i="1"/>
  <c r="AP69" i="1"/>
  <c r="AP68" i="1"/>
  <c r="AP67" i="1"/>
  <c r="AP66" i="1"/>
  <c r="AP65" i="1"/>
  <c r="AP64" i="1"/>
  <c r="AZ83" i="1"/>
  <c r="AZ82" i="1"/>
  <c r="AZ81" i="1"/>
  <c r="AZ80" i="1"/>
  <c r="AZ79" i="1"/>
  <c r="AZ78" i="1"/>
  <c r="AZ77" i="1"/>
  <c r="AZ76" i="1"/>
  <c r="AZ75" i="1"/>
  <c r="AZ62" i="1"/>
  <c r="AZ61" i="1"/>
  <c r="AZ60" i="1"/>
  <c r="AZ59" i="1"/>
  <c r="AZ58" i="1"/>
  <c r="AZ57" i="1"/>
  <c r="AZ56" i="1"/>
  <c r="AZ55" i="1"/>
  <c r="AZ54" i="1"/>
  <c r="AZ53" i="1"/>
  <c r="AZ52" i="1"/>
  <c r="AZ51" i="1"/>
  <c r="AZ50" i="1"/>
  <c r="AZ49" i="1"/>
  <c r="AZ48" i="1"/>
  <c r="AZ47" i="1"/>
  <c r="AZ46" i="1"/>
  <c r="AZ45" i="1"/>
  <c r="AZ44" i="1"/>
  <c r="AZ43" i="1"/>
  <c r="AZ42" i="1"/>
  <c r="AZ41" i="1"/>
  <c r="AZ40" i="1"/>
  <c r="AZ39" i="1"/>
  <c r="AZ38" i="1"/>
  <c r="AZ37" i="1"/>
  <c r="AZ35" i="1"/>
  <c r="AZ34" i="1"/>
  <c r="AZ32" i="1"/>
  <c r="AZ31" i="1"/>
  <c r="AZ30" i="1"/>
  <c r="AZ29" i="1"/>
  <c r="AZ27" i="1"/>
  <c r="AZ26" i="1"/>
  <c r="AZ24" i="1"/>
  <c r="AZ23" i="1"/>
  <c r="AZ22" i="1"/>
  <c r="AZ21" i="1"/>
  <c r="AZ20" i="1"/>
  <c r="AZ19" i="1"/>
  <c r="AZ17" i="1"/>
  <c r="AZ16" i="1"/>
  <c r="AZ15" i="1"/>
  <c r="AZ14" i="1"/>
  <c r="AZ13" i="1"/>
  <c r="AZ12" i="1"/>
  <c r="AZ11" i="1"/>
  <c r="AZ10" i="1"/>
  <c r="AZ9" i="1"/>
  <c r="AZ8" i="1"/>
  <c r="AZ7" i="1"/>
  <c r="AZ6" i="1"/>
  <c r="AE61" i="1"/>
  <c r="AE60" i="1"/>
  <c r="AE59" i="1"/>
  <c r="AE55" i="1"/>
  <c r="AE51" i="1"/>
  <c r="AY83" i="1"/>
  <c r="AY82" i="1"/>
  <c r="AY81" i="1"/>
  <c r="AY80" i="1"/>
  <c r="AY79" i="1"/>
  <c r="AY78" i="1"/>
  <c r="AY77" i="1"/>
  <c r="AY76" i="1"/>
  <c r="AY75" i="1"/>
  <c r="AY74" i="1"/>
  <c r="AY73" i="1"/>
  <c r="AY72" i="1"/>
  <c r="AY71" i="1"/>
  <c r="AY70" i="1"/>
  <c r="AY69" i="1"/>
  <c r="AY68" i="1"/>
  <c r="AY67" i="1"/>
  <c r="AY66" i="1"/>
  <c r="AY65" i="1"/>
  <c r="AY64" i="1"/>
  <c r="AY62" i="1"/>
  <c r="AY61" i="1"/>
  <c r="AY60" i="1"/>
  <c r="AY59" i="1"/>
  <c r="AY58" i="1"/>
  <c r="AY57" i="1"/>
  <c r="AY56" i="1"/>
  <c r="AY55" i="1"/>
  <c r="AY54" i="1"/>
  <c r="AY53" i="1"/>
  <c r="AY52" i="1"/>
  <c r="AY51" i="1"/>
  <c r="AY50" i="1"/>
  <c r="AY49" i="1"/>
  <c r="AY48" i="1"/>
  <c r="AY47" i="1"/>
  <c r="AY46" i="1"/>
  <c r="AY45" i="1"/>
  <c r="AY44" i="1"/>
  <c r="AY43" i="1"/>
  <c r="AY42" i="1"/>
  <c r="AY41" i="1"/>
  <c r="AY40" i="1"/>
  <c r="AY39" i="1"/>
  <c r="AY38" i="1"/>
  <c r="AY37" i="1"/>
  <c r="AY36" i="1"/>
  <c r="AY35" i="1"/>
  <c r="AY34" i="1"/>
  <c r="AY32" i="1"/>
  <c r="AY31" i="1"/>
  <c r="AY30" i="1"/>
  <c r="AY29" i="1"/>
  <c r="AY27" i="1"/>
  <c r="AY26" i="1"/>
  <c r="AY24" i="1"/>
  <c r="AY23" i="1"/>
  <c r="AY22" i="1"/>
  <c r="AY21" i="1"/>
  <c r="AY20" i="1"/>
  <c r="AY19" i="1"/>
  <c r="AY17" i="1"/>
  <c r="AY16" i="1"/>
  <c r="AY15" i="1"/>
  <c r="AY14" i="1"/>
  <c r="AY13" i="1"/>
  <c r="AY12" i="1"/>
  <c r="AY11" i="1"/>
  <c r="AY10" i="1"/>
  <c r="AY9" i="1"/>
  <c r="AY8" i="1"/>
  <c r="AY7" i="1"/>
  <c r="AY6" i="1"/>
  <c r="AD61" i="1"/>
  <c r="AD60" i="1"/>
  <c r="AD59" i="1"/>
  <c r="AD55" i="1"/>
  <c r="AD51" i="1"/>
  <c r="AP83" i="3"/>
  <c r="AP82" i="3"/>
  <c r="AP81" i="3"/>
  <c r="AP80" i="3"/>
  <c r="AP79" i="3"/>
  <c r="AP77" i="3"/>
  <c r="AP76" i="3"/>
  <c r="AP75" i="3"/>
  <c r="AP74" i="3"/>
  <c r="AP73" i="3"/>
  <c r="AP72" i="3"/>
  <c r="AP71" i="3"/>
  <c r="AP70" i="3"/>
  <c r="AP69" i="3"/>
  <c r="AP68" i="3"/>
  <c r="AP67" i="3"/>
  <c r="AP66" i="3"/>
  <c r="AP65" i="3"/>
  <c r="AP64" i="3"/>
  <c r="AP62" i="3"/>
  <c r="AP58" i="3"/>
  <c r="AP57" i="3"/>
  <c r="AP56" i="3"/>
  <c r="AP54" i="3"/>
  <c r="AP53" i="3"/>
  <c r="AP52" i="3"/>
  <c r="AP50" i="3"/>
  <c r="AP49" i="3"/>
  <c r="AP48" i="3"/>
  <c r="AP47" i="3"/>
  <c r="AP46" i="3"/>
  <c r="AP45" i="3"/>
  <c r="AP44" i="3"/>
  <c r="AP43" i="3"/>
  <c r="AP42" i="3"/>
  <c r="AP41" i="3"/>
  <c r="AP40" i="3"/>
  <c r="AP39" i="3"/>
  <c r="AP38" i="3"/>
  <c r="AP37" i="3"/>
  <c r="AP36" i="3"/>
  <c r="AP35" i="3"/>
  <c r="AP34" i="3"/>
  <c r="AP32" i="3"/>
  <c r="AP31" i="3"/>
  <c r="AP30" i="3"/>
  <c r="AP29" i="3"/>
  <c r="AP27" i="3"/>
  <c r="AP26" i="3"/>
  <c r="AP6" i="3"/>
  <c r="AP24" i="3"/>
  <c r="AP23" i="3"/>
  <c r="AP22" i="3"/>
  <c r="AP21" i="3"/>
  <c r="AP20" i="3"/>
  <c r="AP19" i="3"/>
  <c r="AO83" i="3"/>
  <c r="AO82" i="3"/>
  <c r="AO81" i="3"/>
  <c r="AO80" i="3"/>
  <c r="AO79" i="3"/>
  <c r="AO77" i="3"/>
  <c r="AO76" i="3"/>
  <c r="AO75" i="3"/>
  <c r="AO74" i="3"/>
  <c r="AO73" i="3"/>
  <c r="AO72" i="3"/>
  <c r="AO71" i="3"/>
  <c r="AO70" i="3"/>
  <c r="AO69" i="3"/>
  <c r="AO68" i="3"/>
  <c r="AO67" i="3"/>
  <c r="AO66" i="3"/>
  <c r="AO65" i="3"/>
  <c r="AO64" i="3"/>
  <c r="AO62" i="3"/>
  <c r="AO58" i="3"/>
  <c r="AO57" i="3"/>
  <c r="AO56" i="3"/>
  <c r="AO54" i="3"/>
  <c r="AO53" i="3"/>
  <c r="AO52" i="3"/>
  <c r="AO50" i="3"/>
  <c r="AO49" i="3"/>
  <c r="AO48" i="3"/>
  <c r="AO47" i="3"/>
  <c r="AO46" i="3"/>
  <c r="AO45" i="3"/>
  <c r="AO44" i="3"/>
  <c r="AO43" i="3"/>
  <c r="AO42" i="3"/>
  <c r="AO41" i="3"/>
  <c r="AO40" i="3"/>
  <c r="AO39" i="3"/>
  <c r="AO38" i="3"/>
  <c r="AO37" i="3"/>
  <c r="AO36" i="3"/>
  <c r="AO35" i="3"/>
  <c r="AO34" i="3"/>
  <c r="AO32" i="3"/>
  <c r="AO31" i="3"/>
  <c r="AO30" i="3"/>
  <c r="AO29" i="3"/>
  <c r="AO27" i="3"/>
  <c r="AO26" i="3"/>
  <c r="AO24" i="3"/>
  <c r="AO23" i="3"/>
  <c r="AO22" i="3"/>
  <c r="AO21" i="3"/>
  <c r="AO20" i="3"/>
  <c r="AO19" i="3"/>
  <c r="AD61" i="3"/>
  <c r="AP61" i="3" s="1"/>
  <c r="AC61" i="3"/>
  <c r="AC60" i="3"/>
  <c r="AD60" i="3"/>
  <c r="AP60" i="3" s="1"/>
  <c r="AD59" i="3"/>
  <c r="AO59" i="3" s="1"/>
  <c r="AC59" i="3"/>
  <c r="AC55" i="3"/>
  <c r="AD55" i="3"/>
  <c r="AO55" i="3" s="1"/>
  <c r="AD51" i="3"/>
  <c r="AO51" i="3" s="1"/>
  <c r="AX51" i="3" l="1"/>
  <c r="AO60" i="3"/>
  <c r="AO61" i="3"/>
  <c r="AP51" i="3"/>
  <c r="AP55" i="3"/>
  <c r="AP59" i="3"/>
  <c r="AP17" i="3"/>
  <c r="AP16" i="3"/>
  <c r="AP15" i="3"/>
  <c r="AP14" i="3"/>
  <c r="AP13" i="3"/>
  <c r="AP12" i="3"/>
  <c r="AP11" i="3"/>
  <c r="AP10" i="3"/>
  <c r="AP9" i="3"/>
  <c r="AP8" i="3"/>
  <c r="AP7" i="3"/>
  <c r="AO9" i="3"/>
  <c r="AO17" i="3"/>
  <c r="AO16" i="3"/>
  <c r="AO15" i="3"/>
  <c r="AO14" i="3"/>
  <c r="AO13" i="3"/>
  <c r="AO12" i="3"/>
  <c r="AO11" i="3"/>
  <c r="AO10" i="3"/>
  <c r="AO8" i="3"/>
  <c r="AO7" i="3"/>
  <c r="AO6" i="3"/>
  <c r="AG60" i="1"/>
  <c r="AG61" i="1"/>
  <c r="AX63" i="1" l="1"/>
  <c r="AX6" i="1" l="1"/>
  <c r="AG6" i="1" l="1"/>
  <c r="AH6" i="1"/>
  <c r="AI6" i="1"/>
  <c r="AJ6" i="1"/>
  <c r="AK6" i="1"/>
  <c r="AL6" i="1"/>
  <c r="AM6" i="1"/>
  <c r="AN6" i="1"/>
  <c r="AQ6" i="1"/>
  <c r="AR6" i="1"/>
  <c r="AS6" i="1"/>
  <c r="AT6" i="1"/>
  <c r="AU6" i="1"/>
  <c r="AV6" i="1"/>
  <c r="AW6" i="1"/>
  <c r="AX82" i="1" l="1"/>
  <c r="AX81" i="1"/>
  <c r="AX79" i="1"/>
  <c r="AX83" i="1"/>
  <c r="AX70" i="1"/>
  <c r="AX71" i="1"/>
  <c r="AX64" i="1"/>
  <c r="AX72" i="1"/>
  <c r="AX77" i="1"/>
  <c r="AX67" i="1"/>
  <c r="AX69" i="1"/>
  <c r="AX73" i="1"/>
  <c r="AX65" i="1"/>
  <c r="AX74" i="1"/>
  <c r="AX76" i="1"/>
  <c r="AX66" i="1"/>
  <c r="AX68" i="1"/>
  <c r="AX75" i="1"/>
  <c r="AX62" i="1"/>
  <c r="AX52" i="1"/>
  <c r="AX58" i="1"/>
  <c r="AX53" i="1"/>
  <c r="AX54" i="1"/>
  <c r="AX56" i="1"/>
  <c r="AX57" i="1"/>
  <c r="AX49" i="1"/>
  <c r="AX47" i="1"/>
  <c r="AX46" i="1"/>
  <c r="AX45" i="1"/>
  <c r="AX50" i="1"/>
  <c r="AX48" i="1"/>
  <c r="AX44" i="1"/>
  <c r="AX42" i="1"/>
  <c r="AX40" i="1"/>
  <c r="AX43" i="1"/>
  <c r="AX41" i="1"/>
  <c r="AX37" i="1"/>
  <c r="AX36" i="1"/>
  <c r="AX34" i="1"/>
  <c r="AX35" i="1"/>
  <c r="AX29" i="1"/>
  <c r="AX30" i="1"/>
  <c r="AX32" i="1"/>
  <c r="AX31" i="1"/>
  <c r="AX26" i="1"/>
  <c r="AX27" i="1"/>
  <c r="AX22" i="1"/>
  <c r="AX23" i="1"/>
  <c r="AX24" i="1"/>
  <c r="AX20" i="1"/>
  <c r="AX19" i="1"/>
  <c r="AX14" i="1"/>
  <c r="AX17" i="1"/>
  <c r="AX9" i="1"/>
  <c r="AX12" i="1"/>
  <c r="AX15" i="1"/>
  <c r="AX10" i="1"/>
  <c r="AX13" i="1"/>
  <c r="AX16" i="1"/>
  <c r="AX7" i="1"/>
  <c r="AX8" i="1"/>
  <c r="AX11" i="1"/>
  <c r="AX38" i="1"/>
  <c r="AX21" i="1"/>
  <c r="AX39" i="1"/>
  <c r="AA55" i="3" l="1"/>
  <c r="AN26" i="3"/>
  <c r="AN11" i="3"/>
  <c r="AN10" i="3"/>
  <c r="AN7" i="3"/>
  <c r="AN26" i="1" l="1"/>
  <c r="AN10" i="1"/>
  <c r="AN11" i="1"/>
  <c r="AA59" i="1" l="1"/>
  <c r="AN59" i="1" s="1"/>
  <c r="AN83" i="3" l="1"/>
  <c r="AN81" i="3"/>
  <c r="AN79" i="3"/>
  <c r="AN75" i="3"/>
  <c r="AN80" i="3"/>
  <c r="AN77" i="3"/>
  <c r="AN76" i="3"/>
  <c r="AN73" i="3"/>
  <c r="AN72" i="3"/>
  <c r="AN71" i="3"/>
  <c r="AN70" i="3"/>
  <c r="AN69" i="3"/>
  <c r="AN68" i="3"/>
  <c r="AN67" i="3"/>
  <c r="AN66" i="3"/>
  <c r="AN65" i="3"/>
  <c r="AN64" i="3"/>
  <c r="AN62" i="3"/>
  <c r="AN58" i="3"/>
  <c r="AN57" i="3"/>
  <c r="AN56" i="3"/>
  <c r="AN55" i="3"/>
  <c r="AN54" i="3"/>
  <c r="AN53" i="3"/>
  <c r="AN52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2" i="3"/>
  <c r="AN31" i="3"/>
  <c r="AN30" i="3"/>
  <c r="AN29" i="3"/>
  <c r="AN27" i="3"/>
  <c r="AN24" i="3"/>
  <c r="AN23" i="3"/>
  <c r="AN22" i="3"/>
  <c r="AN21" i="3"/>
  <c r="AN20" i="3"/>
  <c r="AN19" i="3"/>
  <c r="AN17" i="3"/>
  <c r="AN16" i="3"/>
  <c r="AN15" i="3"/>
  <c r="AN14" i="3"/>
  <c r="AN13" i="3"/>
  <c r="AN12" i="3"/>
  <c r="AN8" i="3"/>
  <c r="AN6" i="3" l="1"/>
  <c r="AN83" i="1" l="1"/>
  <c r="AN81" i="1"/>
  <c r="AN80" i="1"/>
  <c r="AN79" i="1"/>
  <c r="AN77" i="1"/>
  <c r="AN76" i="1"/>
  <c r="AN75" i="1"/>
  <c r="AN73" i="1"/>
  <c r="AN72" i="1"/>
  <c r="AN71" i="1"/>
  <c r="AN70" i="1"/>
  <c r="AN69" i="1"/>
  <c r="AN68" i="1"/>
  <c r="AN67" i="1"/>
  <c r="AN66" i="1"/>
  <c r="AN65" i="1"/>
  <c r="AN64" i="1"/>
  <c r="AN62" i="1"/>
  <c r="AN58" i="1"/>
  <c r="AN57" i="1"/>
  <c r="AN56" i="1"/>
  <c r="AN54" i="1"/>
  <c r="AN53" i="1"/>
  <c r="AN52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2" i="1"/>
  <c r="AN31" i="1"/>
  <c r="AN30" i="1"/>
  <c r="AN29" i="1"/>
  <c r="AN27" i="1"/>
  <c r="AN24" i="1"/>
  <c r="AN23" i="1"/>
  <c r="AN22" i="1"/>
  <c r="AN21" i="1"/>
  <c r="AN20" i="1"/>
  <c r="AN19" i="1"/>
  <c r="AN17" i="1"/>
  <c r="AN16" i="1"/>
  <c r="AN15" i="1"/>
  <c r="AN14" i="1"/>
  <c r="AN13" i="1"/>
  <c r="AN12" i="1"/>
  <c r="AN8" i="1"/>
  <c r="AN7" i="1"/>
  <c r="AM83" i="3" l="1"/>
  <c r="AM81" i="3"/>
  <c r="AM80" i="3"/>
  <c r="AM79" i="3"/>
  <c r="AM77" i="3"/>
  <c r="AM76" i="3"/>
  <c r="AM75" i="3"/>
  <c r="AM73" i="3"/>
  <c r="AM72" i="3"/>
  <c r="AM71" i="3"/>
  <c r="AM70" i="3"/>
  <c r="AM69" i="3"/>
  <c r="AM68" i="3"/>
  <c r="AM67" i="3"/>
  <c r="AM66" i="3"/>
  <c r="AM65" i="3"/>
  <c r="AM64" i="3"/>
  <c r="AM62" i="3"/>
  <c r="AM58" i="3"/>
  <c r="AM57" i="3"/>
  <c r="AM56" i="3"/>
  <c r="AM54" i="3"/>
  <c r="AM53" i="3"/>
  <c r="AM52" i="3"/>
  <c r="AM50" i="3"/>
  <c r="AM49" i="3"/>
  <c r="AM48" i="3"/>
  <c r="AM47" i="3"/>
  <c r="AM46" i="3"/>
  <c r="AM45" i="3"/>
  <c r="AM44" i="3"/>
  <c r="AM43" i="3"/>
  <c r="AM42" i="3"/>
  <c r="AM41" i="3"/>
  <c r="AM40" i="3"/>
  <c r="AM39" i="3"/>
  <c r="AM38" i="3"/>
  <c r="AM37" i="3"/>
  <c r="AM36" i="3"/>
  <c r="AM35" i="3"/>
  <c r="AM34" i="3"/>
  <c r="AM32" i="3"/>
  <c r="AM31" i="3"/>
  <c r="AM30" i="3"/>
  <c r="AM29" i="3"/>
  <c r="AM27" i="3"/>
  <c r="AM26" i="3"/>
  <c r="AM24" i="3"/>
  <c r="AM23" i="3"/>
  <c r="AM22" i="3"/>
  <c r="AM21" i="3"/>
  <c r="AM20" i="3"/>
  <c r="AM19" i="3"/>
  <c r="AM17" i="3"/>
  <c r="AM16" i="3"/>
  <c r="AM15" i="3"/>
  <c r="AM14" i="3"/>
  <c r="AM13" i="3"/>
  <c r="AM12" i="3"/>
  <c r="AM11" i="3"/>
  <c r="AM10" i="3"/>
  <c r="AM8" i="3"/>
  <c r="AM7" i="3"/>
  <c r="AM6" i="3"/>
  <c r="AA61" i="3" l="1"/>
  <c r="AN61" i="3" s="1"/>
  <c r="AA60" i="3"/>
  <c r="AN60" i="3" s="1"/>
  <c r="AA59" i="3"/>
  <c r="AN59" i="3" s="1"/>
  <c r="AA51" i="3"/>
  <c r="AN51" i="3" s="1"/>
  <c r="AM80" i="1"/>
  <c r="AA61" i="1"/>
  <c r="AN61" i="1" s="1"/>
  <c r="AA60" i="1"/>
  <c r="AN60" i="1" s="1"/>
  <c r="AA55" i="1"/>
  <c r="AN55" i="1" s="1"/>
  <c r="AA51" i="1"/>
  <c r="AN51" i="1" s="1"/>
  <c r="Z51" i="1"/>
  <c r="AX51" i="1" s="1"/>
  <c r="AM83" i="1"/>
  <c r="AM81" i="1"/>
  <c r="AM79" i="1"/>
  <c r="AM77" i="1"/>
  <c r="AM76" i="1"/>
  <c r="AM75" i="1"/>
  <c r="AM73" i="1"/>
  <c r="AM72" i="1"/>
  <c r="AM71" i="1"/>
  <c r="AM70" i="1"/>
  <c r="AM69" i="1"/>
  <c r="AM68" i="1"/>
  <c r="AM67" i="1"/>
  <c r="AM66" i="1"/>
  <c r="AM65" i="1"/>
  <c r="AM64" i="1"/>
  <c r="AM62" i="1"/>
  <c r="AM58" i="1"/>
  <c r="AM57" i="1"/>
  <c r="AM56" i="1"/>
  <c r="AM54" i="1"/>
  <c r="AM53" i="1"/>
  <c r="AM52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2" i="1"/>
  <c r="AM31" i="1"/>
  <c r="AM30" i="1"/>
  <c r="AM29" i="1"/>
  <c r="AM27" i="1"/>
  <c r="AM26" i="1"/>
  <c r="AM24" i="1"/>
  <c r="AM23" i="1"/>
  <c r="AM22" i="1"/>
  <c r="AM21" i="1"/>
  <c r="AM20" i="1"/>
  <c r="AM19" i="1"/>
  <c r="AM17" i="1"/>
  <c r="AM16" i="1"/>
  <c r="AM15" i="1"/>
  <c r="AM14" i="1"/>
  <c r="AM13" i="1"/>
  <c r="AM12" i="1"/>
  <c r="AM11" i="1"/>
  <c r="AM10" i="1"/>
  <c r="AM8" i="1"/>
  <c r="AM7" i="1"/>
  <c r="Z80" i="3" l="1"/>
  <c r="Z80" i="1"/>
  <c r="AX80" i="1" s="1"/>
  <c r="AW80" i="1" l="1"/>
  <c r="AW83" i="3"/>
  <c r="AW82" i="3"/>
  <c r="AW81" i="3"/>
  <c r="AW80" i="3"/>
  <c r="AW79" i="3"/>
  <c r="AW77" i="3"/>
  <c r="AW76" i="3"/>
  <c r="AW75" i="3"/>
  <c r="AW74" i="3"/>
  <c r="AW73" i="3"/>
  <c r="AW72" i="3"/>
  <c r="AW71" i="3"/>
  <c r="AW70" i="3"/>
  <c r="AW69" i="3"/>
  <c r="AW68" i="3"/>
  <c r="AW67" i="3"/>
  <c r="AW66" i="3"/>
  <c r="AW65" i="3"/>
  <c r="AW64" i="3"/>
  <c r="AW63" i="3"/>
  <c r="AW62" i="3"/>
  <c r="AW58" i="3"/>
  <c r="AW57" i="3"/>
  <c r="AW56" i="3"/>
  <c r="AW54" i="3"/>
  <c r="AW53" i="3"/>
  <c r="AW52" i="3"/>
  <c r="AW50" i="3"/>
  <c r="AW49" i="3"/>
  <c r="AW48" i="3"/>
  <c r="AW47" i="3"/>
  <c r="AW46" i="3"/>
  <c r="AW45" i="3"/>
  <c r="AW44" i="3"/>
  <c r="AW43" i="3"/>
  <c r="AW42" i="3"/>
  <c r="AW41" i="3"/>
  <c r="AW40" i="3"/>
  <c r="AW39" i="3"/>
  <c r="AW38" i="3"/>
  <c r="AW37" i="3"/>
  <c r="AW36" i="3"/>
  <c r="AW35" i="3"/>
  <c r="AW34" i="3"/>
  <c r="AW32" i="3"/>
  <c r="AW31" i="3"/>
  <c r="AW30" i="3"/>
  <c r="AW29" i="3"/>
  <c r="AW27" i="3"/>
  <c r="AW24" i="3"/>
  <c r="AW23" i="3"/>
  <c r="AW22" i="3"/>
  <c r="AW21" i="3"/>
  <c r="AW20" i="3"/>
  <c r="AW19" i="3"/>
  <c r="AW18" i="3"/>
  <c r="AW17" i="3"/>
  <c r="AW16" i="3"/>
  <c r="AW15" i="3"/>
  <c r="AW14" i="3"/>
  <c r="AW13" i="3"/>
  <c r="AW12" i="3"/>
  <c r="AW11" i="3"/>
  <c r="AW10" i="3"/>
  <c r="AW9" i="3"/>
  <c r="AW8" i="3"/>
  <c r="AW7" i="3"/>
  <c r="AW6" i="3"/>
  <c r="AW83" i="1"/>
  <c r="AW82" i="1"/>
  <c r="AW81" i="1"/>
  <c r="AW79" i="1"/>
  <c r="AW77" i="1"/>
  <c r="AW76" i="1"/>
  <c r="AW75" i="1"/>
  <c r="AW74" i="1"/>
  <c r="AW73" i="1"/>
  <c r="AW72" i="1"/>
  <c r="AW71" i="1"/>
  <c r="AW70" i="1"/>
  <c r="AW69" i="1"/>
  <c r="AW68" i="1"/>
  <c r="AW67" i="1"/>
  <c r="AW66" i="1"/>
  <c r="AW65" i="1"/>
  <c r="AW64" i="1"/>
  <c r="AW63" i="1"/>
  <c r="AW62" i="1"/>
  <c r="AW58" i="1"/>
  <c r="AW57" i="1"/>
  <c r="AW56" i="1"/>
  <c r="AW54" i="1"/>
  <c r="AW53" i="1"/>
  <c r="AW52" i="1"/>
  <c r="AW50" i="1"/>
  <c r="AW49" i="1"/>
  <c r="AW48" i="1"/>
  <c r="AW47" i="1"/>
  <c r="AW46" i="1"/>
  <c r="AW45" i="1"/>
  <c r="AW44" i="1"/>
  <c r="AW43" i="1"/>
  <c r="AW42" i="1"/>
  <c r="AW41" i="1"/>
  <c r="AW40" i="1"/>
  <c r="AW39" i="1"/>
  <c r="AW38" i="1"/>
  <c r="AW37" i="1"/>
  <c r="AW36" i="1"/>
  <c r="AW35" i="1"/>
  <c r="AW34" i="1"/>
  <c r="AW32" i="1"/>
  <c r="AW31" i="1"/>
  <c r="AW30" i="1"/>
  <c r="AW29" i="1"/>
  <c r="AW27" i="1"/>
  <c r="AW24" i="1"/>
  <c r="AW23" i="1"/>
  <c r="AW22" i="1"/>
  <c r="AW21" i="1"/>
  <c r="AW20" i="1"/>
  <c r="AW19" i="1"/>
  <c r="AW18" i="1"/>
  <c r="AW17" i="1"/>
  <c r="AW16" i="1"/>
  <c r="AW15" i="1"/>
  <c r="AW14" i="1"/>
  <c r="AW13" i="1"/>
  <c r="AW12" i="1"/>
  <c r="AW11" i="1"/>
  <c r="AW10" i="1"/>
  <c r="AW9" i="1"/>
  <c r="AW8" i="1"/>
  <c r="AW7" i="1"/>
  <c r="Z51" i="3" l="1"/>
  <c r="Z61" i="3"/>
  <c r="Z60" i="3"/>
  <c r="Z59" i="3"/>
  <c r="Z55" i="3"/>
  <c r="Z61" i="1"/>
  <c r="AX61" i="1" s="1"/>
  <c r="Z60" i="1"/>
  <c r="AX60" i="1" s="1"/>
  <c r="Z59" i="1"/>
  <c r="AX59" i="1" s="1"/>
  <c r="Z55" i="1"/>
  <c r="AX55" i="1" s="1"/>
  <c r="AW55" i="1" l="1"/>
  <c r="AW55" i="3"/>
  <c r="AL83" i="1"/>
  <c r="AL82" i="1"/>
  <c r="AL81" i="1"/>
  <c r="AL80" i="1"/>
  <c r="AL79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2" i="1"/>
  <c r="AL58" i="1"/>
  <c r="AL57" i="1"/>
  <c r="AL56" i="1"/>
  <c r="AL54" i="1"/>
  <c r="AL53" i="1"/>
  <c r="AL52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2" i="1"/>
  <c r="AL31" i="1"/>
  <c r="AL30" i="1"/>
  <c r="AL29" i="1"/>
  <c r="AL27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27" i="3" l="1"/>
  <c r="AL29" i="3"/>
  <c r="AL30" i="3"/>
  <c r="AL31" i="3"/>
  <c r="AL32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2" i="3"/>
  <c r="AL53" i="3"/>
  <c r="AL54" i="3"/>
  <c r="AL56" i="3"/>
  <c r="AL57" i="3"/>
  <c r="AL58" i="3"/>
  <c r="AL62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9" i="3"/>
  <c r="AL80" i="3"/>
  <c r="AL81" i="3"/>
  <c r="AL82" i="3"/>
  <c r="AL83" i="3"/>
  <c r="Y61" i="3"/>
  <c r="AM61" i="3" s="1"/>
  <c r="Y60" i="3"/>
  <c r="AM60" i="3" s="1"/>
  <c r="Y59" i="3"/>
  <c r="AM59" i="3" s="1"/>
  <c r="Y51" i="3"/>
  <c r="AM51" i="3" s="1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AL8" i="3"/>
  <c r="AL7" i="3"/>
  <c r="AL6" i="3"/>
  <c r="Y55" i="3"/>
  <c r="Y55" i="1"/>
  <c r="AU25" i="1"/>
  <c r="AT25" i="1"/>
  <c r="AS25" i="1"/>
  <c r="AR25" i="1"/>
  <c r="AQ25" i="1"/>
  <c r="AK25" i="1"/>
  <c r="AJ25" i="1"/>
  <c r="AI25" i="1"/>
  <c r="AH25" i="1"/>
  <c r="AG25" i="1"/>
  <c r="AF25" i="1"/>
  <c r="AU25" i="3"/>
  <c r="AT25" i="3"/>
  <c r="AS25" i="3"/>
  <c r="AR25" i="3"/>
  <c r="AQ25" i="3"/>
  <c r="AK25" i="3"/>
  <c r="AJ25" i="3"/>
  <c r="AI25" i="3"/>
  <c r="AH25" i="3"/>
  <c r="AG25" i="3"/>
  <c r="AF25" i="3"/>
  <c r="Y61" i="1"/>
  <c r="AM61" i="1" s="1"/>
  <c r="Y60" i="1"/>
  <c r="AM60" i="1" s="1"/>
  <c r="Y59" i="1"/>
  <c r="AM59" i="1" s="1"/>
  <c r="Y51" i="1"/>
  <c r="AM51" i="1" s="1"/>
  <c r="AM55" i="1" l="1"/>
  <c r="AL55" i="3"/>
  <c r="AM55" i="3"/>
  <c r="AL55" i="1"/>
  <c r="AV83" i="3"/>
  <c r="AV82" i="3"/>
  <c r="AV81" i="3"/>
  <c r="AV80" i="3"/>
  <c r="AV79" i="3"/>
  <c r="AV77" i="3"/>
  <c r="AV76" i="3"/>
  <c r="AV75" i="3"/>
  <c r="AV74" i="3"/>
  <c r="AV73" i="3"/>
  <c r="AV72" i="3"/>
  <c r="AV71" i="3"/>
  <c r="AV70" i="3"/>
  <c r="AV69" i="3"/>
  <c r="AV68" i="3"/>
  <c r="AV67" i="3"/>
  <c r="AV66" i="3"/>
  <c r="AV65" i="3"/>
  <c r="AV64" i="3"/>
  <c r="AV63" i="3"/>
  <c r="AV62" i="3"/>
  <c r="AV58" i="3"/>
  <c r="AV57" i="3"/>
  <c r="AV55" i="3"/>
  <c r="AV54" i="3"/>
  <c r="AV52" i="3"/>
  <c r="AV50" i="3"/>
  <c r="AV49" i="3"/>
  <c r="AV48" i="3"/>
  <c r="AV47" i="3"/>
  <c r="AV46" i="3"/>
  <c r="AV45" i="3"/>
  <c r="AV44" i="3"/>
  <c r="AV43" i="3"/>
  <c r="AV42" i="3"/>
  <c r="AV41" i="3"/>
  <c r="AV40" i="3"/>
  <c r="AV39" i="3"/>
  <c r="AV38" i="3"/>
  <c r="AV37" i="3"/>
  <c r="AV36" i="3"/>
  <c r="AV35" i="3"/>
  <c r="AV34" i="3"/>
  <c r="AV32" i="3"/>
  <c r="AV31" i="3"/>
  <c r="AV30" i="3"/>
  <c r="AV29" i="3"/>
  <c r="AV27" i="3"/>
  <c r="AV24" i="3"/>
  <c r="AV23" i="3"/>
  <c r="AV22" i="3"/>
  <c r="AV21" i="3"/>
  <c r="AV20" i="3"/>
  <c r="AV19" i="3"/>
  <c r="AV18" i="3"/>
  <c r="AV17" i="3"/>
  <c r="AV16" i="3"/>
  <c r="AV15" i="3"/>
  <c r="AV14" i="3"/>
  <c r="AV13" i="3"/>
  <c r="AV12" i="3"/>
  <c r="AV11" i="3"/>
  <c r="AV10" i="3"/>
  <c r="AV9" i="3"/>
  <c r="AV8" i="3"/>
  <c r="AV7" i="3"/>
  <c r="AV6" i="3"/>
  <c r="X61" i="3"/>
  <c r="AW61" i="3" s="1"/>
  <c r="X60" i="3"/>
  <c r="AW60" i="3" s="1"/>
  <c r="X59" i="3"/>
  <c r="AW59" i="3" s="1"/>
  <c r="X51" i="3"/>
  <c r="AW51" i="3" s="1"/>
  <c r="X61" i="1" l="1"/>
  <c r="AW61" i="1" s="1"/>
  <c r="X60" i="1"/>
  <c r="AW60" i="1" s="1"/>
  <c r="X59" i="1"/>
  <c r="AW59" i="1" s="1"/>
  <c r="X51" i="1"/>
  <c r="AW51" i="1" s="1"/>
  <c r="W51" i="1"/>
  <c r="AL51" i="1" s="1"/>
  <c r="AV83" i="1"/>
  <c r="AV82" i="1"/>
  <c r="AV81" i="1"/>
  <c r="AV80" i="1"/>
  <c r="AV79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58" i="1"/>
  <c r="AV57" i="1"/>
  <c r="AV55" i="1"/>
  <c r="AV54" i="1"/>
  <c r="AV52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2" i="1"/>
  <c r="AV31" i="1"/>
  <c r="AV30" i="1"/>
  <c r="AV29" i="1"/>
  <c r="AV27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9" i="1"/>
  <c r="AV8" i="1"/>
  <c r="AV7" i="1"/>
  <c r="AG7" i="1"/>
  <c r="AH7" i="1"/>
  <c r="AI7" i="1"/>
  <c r="AJ7" i="1"/>
  <c r="AK7" i="1"/>
  <c r="AQ7" i="1"/>
  <c r="AR7" i="1"/>
  <c r="AS7" i="1"/>
  <c r="AT7" i="1"/>
  <c r="AU7" i="1"/>
  <c r="AG8" i="1"/>
  <c r="AH8" i="1"/>
  <c r="AI8" i="1"/>
  <c r="AJ8" i="1"/>
  <c r="AK8" i="1"/>
  <c r="AQ8" i="1"/>
  <c r="AR8" i="1"/>
  <c r="AS8" i="1"/>
  <c r="AT8" i="1"/>
  <c r="AU8" i="1"/>
  <c r="AF9" i="1"/>
  <c r="AG9" i="1"/>
  <c r="AH9" i="1"/>
  <c r="AI9" i="1"/>
  <c r="AQ9" i="1"/>
  <c r="AR9" i="1"/>
  <c r="AS9" i="1"/>
  <c r="AT9" i="1"/>
  <c r="AU9" i="1"/>
  <c r="AH11" i="1"/>
  <c r="AI11" i="1"/>
  <c r="AJ11" i="1"/>
  <c r="AK11" i="1"/>
  <c r="AS11" i="1"/>
  <c r="AT11" i="1"/>
  <c r="AU11" i="1"/>
  <c r="AF12" i="1"/>
  <c r="AG12" i="1"/>
  <c r="AH12" i="1"/>
  <c r="AI12" i="1"/>
  <c r="AJ12" i="1"/>
  <c r="AK12" i="1"/>
  <c r="AQ12" i="1"/>
  <c r="AR12" i="1"/>
  <c r="AS12" i="1"/>
  <c r="AT12" i="1"/>
  <c r="AU12" i="1"/>
  <c r="AH13" i="1"/>
  <c r="AI13" i="1"/>
  <c r="AJ13" i="1"/>
  <c r="AK13" i="1"/>
  <c r="AS13" i="1"/>
  <c r="AT13" i="1"/>
  <c r="AU13" i="1"/>
  <c r="AF14" i="1"/>
  <c r="AG14" i="1"/>
  <c r="AH14" i="1"/>
  <c r="AI14" i="1"/>
  <c r="AJ14" i="1"/>
  <c r="AK14" i="1"/>
  <c r="AQ14" i="1"/>
  <c r="AR14" i="1"/>
  <c r="AS14" i="1"/>
  <c r="AT14" i="1"/>
  <c r="AU14" i="1"/>
  <c r="AF15" i="1"/>
  <c r="AG15" i="1"/>
  <c r="AH15" i="1"/>
  <c r="AI15" i="1"/>
  <c r="AJ15" i="1"/>
  <c r="AK15" i="1"/>
  <c r="AQ15" i="1"/>
  <c r="AR15" i="1"/>
  <c r="AS15" i="1"/>
  <c r="AT15" i="1"/>
  <c r="AU15" i="1"/>
  <c r="AF16" i="1"/>
  <c r="AG16" i="1"/>
  <c r="AH16" i="1"/>
  <c r="AI16" i="1"/>
  <c r="AJ16" i="1"/>
  <c r="AK16" i="1"/>
  <c r="AQ16" i="1"/>
  <c r="AR16" i="1"/>
  <c r="AS16" i="1"/>
  <c r="AT16" i="1"/>
  <c r="AU16" i="1"/>
  <c r="AF17" i="1"/>
  <c r="AG17" i="1"/>
  <c r="AH17" i="1"/>
  <c r="AI17" i="1"/>
  <c r="AJ17" i="1"/>
  <c r="AK17" i="1"/>
  <c r="AQ17" i="1"/>
  <c r="AR17" i="1"/>
  <c r="AS17" i="1"/>
  <c r="AT17" i="1"/>
  <c r="AU17" i="1"/>
  <c r="AF18" i="1"/>
  <c r="AG18" i="1"/>
  <c r="AH18" i="1"/>
  <c r="AI18" i="1"/>
  <c r="AJ18" i="1"/>
  <c r="AK18" i="1"/>
  <c r="AQ18" i="1"/>
  <c r="AR18" i="1"/>
  <c r="AS18" i="1"/>
  <c r="AT18" i="1"/>
  <c r="AU18" i="1"/>
  <c r="AF19" i="1"/>
  <c r="AG19" i="1"/>
  <c r="AH19" i="1"/>
  <c r="AI19" i="1"/>
  <c r="AJ19" i="1"/>
  <c r="AK19" i="1"/>
  <c r="AQ19" i="1"/>
  <c r="AR19" i="1"/>
  <c r="AS19" i="1"/>
  <c r="AT19" i="1"/>
  <c r="AU19" i="1"/>
  <c r="AF20" i="1"/>
  <c r="AG20" i="1"/>
  <c r="AH20" i="1"/>
  <c r="AI20" i="1"/>
  <c r="AJ20" i="1"/>
  <c r="AK20" i="1"/>
  <c r="AQ20" i="1"/>
  <c r="AR20" i="1"/>
  <c r="AS20" i="1"/>
  <c r="AT20" i="1"/>
  <c r="AU20" i="1"/>
  <c r="AF21" i="1"/>
  <c r="AG21" i="1"/>
  <c r="AH21" i="1"/>
  <c r="AI21" i="1"/>
  <c r="AJ21" i="1"/>
  <c r="AK21" i="1"/>
  <c r="AQ21" i="1"/>
  <c r="AR21" i="1"/>
  <c r="AS21" i="1"/>
  <c r="AT21" i="1"/>
  <c r="AU21" i="1"/>
  <c r="AF22" i="1"/>
  <c r="AG22" i="1"/>
  <c r="AH22" i="1"/>
  <c r="AI22" i="1"/>
  <c r="AJ22" i="1"/>
  <c r="AK22" i="1"/>
  <c r="AQ22" i="1"/>
  <c r="AR22" i="1"/>
  <c r="AS22" i="1"/>
  <c r="AT22" i="1"/>
  <c r="AU22" i="1"/>
  <c r="AF23" i="1"/>
  <c r="AG23" i="1"/>
  <c r="AH23" i="1"/>
  <c r="AI23" i="1"/>
  <c r="AJ23" i="1"/>
  <c r="AK23" i="1"/>
  <c r="AQ23" i="1"/>
  <c r="AR23" i="1"/>
  <c r="AS23" i="1"/>
  <c r="AT23" i="1"/>
  <c r="AU23" i="1"/>
  <c r="AF24" i="1"/>
  <c r="AG24" i="1"/>
  <c r="AH24" i="1"/>
  <c r="AI24" i="1"/>
  <c r="AJ24" i="1"/>
  <c r="AK24" i="1"/>
  <c r="AQ24" i="1"/>
  <c r="AR24" i="1"/>
  <c r="AS24" i="1"/>
  <c r="AT24" i="1"/>
  <c r="AU24" i="1"/>
  <c r="AF27" i="1"/>
  <c r="AG27" i="1"/>
  <c r="AH27" i="1"/>
  <c r="AI27" i="1"/>
  <c r="AJ27" i="1"/>
  <c r="AK27" i="1"/>
  <c r="AQ27" i="1"/>
  <c r="AR27" i="1"/>
  <c r="AS27" i="1"/>
  <c r="AT27" i="1"/>
  <c r="AU27" i="1"/>
  <c r="AF28" i="1"/>
  <c r="AG28" i="1"/>
  <c r="AH28" i="1"/>
  <c r="AI28" i="1"/>
  <c r="AJ28" i="1"/>
  <c r="AQ28" i="1"/>
  <c r="AR28" i="1"/>
  <c r="AS28" i="1"/>
  <c r="AT28" i="1"/>
  <c r="AF29" i="1"/>
  <c r="AG29" i="1"/>
  <c r="AH29" i="1"/>
  <c r="AI29" i="1"/>
  <c r="AJ29" i="1"/>
  <c r="AK29" i="1"/>
  <c r="AQ29" i="1"/>
  <c r="AR29" i="1"/>
  <c r="AS29" i="1"/>
  <c r="AT29" i="1"/>
  <c r="AU29" i="1"/>
  <c r="AF30" i="1"/>
  <c r="AG30" i="1"/>
  <c r="AH30" i="1"/>
  <c r="AI30" i="1"/>
  <c r="AJ30" i="1"/>
  <c r="AK30" i="1"/>
  <c r="AQ30" i="1"/>
  <c r="AR30" i="1"/>
  <c r="AS30" i="1"/>
  <c r="AT30" i="1"/>
  <c r="AU30" i="1"/>
  <c r="AF31" i="1"/>
  <c r="AG31" i="1"/>
  <c r="AH31" i="1"/>
  <c r="AI31" i="1"/>
  <c r="AJ31" i="1"/>
  <c r="AK31" i="1"/>
  <c r="AQ31" i="1"/>
  <c r="AR31" i="1"/>
  <c r="AS31" i="1"/>
  <c r="AT31" i="1"/>
  <c r="AU31" i="1"/>
  <c r="AF32" i="1"/>
  <c r="AG32" i="1"/>
  <c r="AH32" i="1"/>
  <c r="AI32" i="1"/>
  <c r="AJ32" i="1"/>
  <c r="AK32" i="1"/>
  <c r="AQ32" i="1"/>
  <c r="AR32" i="1"/>
  <c r="AS32" i="1"/>
  <c r="AT32" i="1"/>
  <c r="AU32" i="1"/>
  <c r="AF33" i="1"/>
  <c r="AG33" i="1"/>
  <c r="AH33" i="1"/>
  <c r="AI33" i="1"/>
  <c r="AJ33" i="1"/>
  <c r="AQ33" i="1"/>
  <c r="AR33" i="1"/>
  <c r="AS33" i="1"/>
  <c r="AT33" i="1"/>
  <c r="AF34" i="1"/>
  <c r="AG34" i="1"/>
  <c r="AH34" i="1"/>
  <c r="AI34" i="1"/>
  <c r="AJ34" i="1"/>
  <c r="AK34" i="1"/>
  <c r="AQ34" i="1"/>
  <c r="AR34" i="1"/>
  <c r="AS34" i="1"/>
  <c r="AT34" i="1"/>
  <c r="AU34" i="1"/>
  <c r="AF35" i="1"/>
  <c r="AG35" i="1"/>
  <c r="AH35" i="1"/>
  <c r="AI35" i="1"/>
  <c r="AJ35" i="1"/>
  <c r="AK35" i="1"/>
  <c r="AQ35" i="1"/>
  <c r="AR35" i="1"/>
  <c r="AS35" i="1"/>
  <c r="AT35" i="1"/>
  <c r="AU35" i="1"/>
  <c r="AH36" i="1"/>
  <c r="AI36" i="1"/>
  <c r="AJ36" i="1"/>
  <c r="AK36" i="1"/>
  <c r="AS36" i="1"/>
  <c r="AT36" i="1"/>
  <c r="AU36" i="1"/>
  <c r="AF37" i="1"/>
  <c r="AG37" i="1"/>
  <c r="AH37" i="1"/>
  <c r="AI37" i="1"/>
  <c r="AJ37" i="1"/>
  <c r="AK37" i="1"/>
  <c r="AQ37" i="1"/>
  <c r="AR37" i="1"/>
  <c r="AS37" i="1"/>
  <c r="AT37" i="1"/>
  <c r="AU37" i="1"/>
  <c r="AF38" i="1"/>
  <c r="AG38" i="1"/>
  <c r="AH38" i="1"/>
  <c r="AI38" i="1"/>
  <c r="AJ38" i="1"/>
  <c r="AK38" i="1"/>
  <c r="AQ38" i="1"/>
  <c r="AR38" i="1"/>
  <c r="AS38" i="1"/>
  <c r="AT38" i="1"/>
  <c r="AU38" i="1"/>
  <c r="AF39" i="1"/>
  <c r="AG39" i="1"/>
  <c r="AH39" i="1"/>
  <c r="AI39" i="1"/>
  <c r="AJ39" i="1"/>
  <c r="AK39" i="1"/>
  <c r="AQ39" i="1"/>
  <c r="AR39" i="1"/>
  <c r="AS39" i="1"/>
  <c r="AT39" i="1"/>
  <c r="AU39" i="1"/>
  <c r="AF40" i="1"/>
  <c r="AG40" i="1"/>
  <c r="AH40" i="1"/>
  <c r="AI40" i="1"/>
  <c r="AJ40" i="1"/>
  <c r="AK40" i="1"/>
  <c r="AQ40" i="1"/>
  <c r="AR40" i="1"/>
  <c r="AS40" i="1"/>
  <c r="AT40" i="1"/>
  <c r="AU40" i="1"/>
  <c r="AF41" i="1"/>
  <c r="AG41" i="1"/>
  <c r="AH41" i="1"/>
  <c r="AI41" i="1"/>
  <c r="AJ41" i="1"/>
  <c r="AK41" i="1"/>
  <c r="AQ41" i="1"/>
  <c r="AR41" i="1"/>
  <c r="AS41" i="1"/>
  <c r="AT41" i="1"/>
  <c r="AU41" i="1"/>
  <c r="AH42" i="1"/>
  <c r="AI42" i="1"/>
  <c r="AJ42" i="1"/>
  <c r="AK42" i="1"/>
  <c r="AS42" i="1"/>
  <c r="AT42" i="1"/>
  <c r="AU42" i="1"/>
  <c r="AF43" i="1"/>
  <c r="AG43" i="1"/>
  <c r="AH43" i="1"/>
  <c r="AI43" i="1"/>
  <c r="AJ43" i="1"/>
  <c r="AK43" i="1"/>
  <c r="AQ43" i="1"/>
  <c r="AR43" i="1"/>
  <c r="AS43" i="1"/>
  <c r="AT43" i="1"/>
  <c r="AU43" i="1"/>
  <c r="AF44" i="1"/>
  <c r="AG44" i="1"/>
  <c r="AH44" i="1"/>
  <c r="AI44" i="1"/>
  <c r="AJ44" i="1"/>
  <c r="AK44" i="1"/>
  <c r="AQ44" i="1"/>
  <c r="AR44" i="1"/>
  <c r="AS44" i="1"/>
  <c r="AT44" i="1"/>
  <c r="AU44" i="1"/>
  <c r="AF45" i="1"/>
  <c r="AG45" i="1"/>
  <c r="AH45" i="1"/>
  <c r="AI45" i="1"/>
  <c r="AJ45" i="1"/>
  <c r="AK45" i="1"/>
  <c r="AQ45" i="1"/>
  <c r="AR45" i="1"/>
  <c r="AS45" i="1"/>
  <c r="AT45" i="1"/>
  <c r="AU45" i="1"/>
  <c r="AF46" i="1"/>
  <c r="AG46" i="1"/>
  <c r="AH46" i="1"/>
  <c r="AI46" i="1"/>
  <c r="AJ46" i="1"/>
  <c r="AK46" i="1"/>
  <c r="AQ46" i="1"/>
  <c r="AR46" i="1"/>
  <c r="AS46" i="1"/>
  <c r="AT46" i="1"/>
  <c r="AU46" i="1"/>
  <c r="AF47" i="1"/>
  <c r="AG47" i="1"/>
  <c r="AH47" i="1"/>
  <c r="AI47" i="1"/>
  <c r="AJ47" i="1"/>
  <c r="AK47" i="1"/>
  <c r="AQ47" i="1"/>
  <c r="AR47" i="1"/>
  <c r="AS47" i="1"/>
  <c r="AT47" i="1"/>
  <c r="AU47" i="1"/>
  <c r="AF48" i="1"/>
  <c r="AG48" i="1"/>
  <c r="AH48" i="1"/>
  <c r="AI48" i="1"/>
  <c r="AJ48" i="1"/>
  <c r="AK48" i="1"/>
  <c r="AQ48" i="1"/>
  <c r="AR48" i="1"/>
  <c r="AS48" i="1"/>
  <c r="AT48" i="1"/>
  <c r="AU48" i="1"/>
  <c r="AF49" i="1"/>
  <c r="AG49" i="1"/>
  <c r="AH49" i="1"/>
  <c r="AI49" i="1"/>
  <c r="AJ49" i="1"/>
  <c r="AK49" i="1"/>
  <c r="AQ49" i="1"/>
  <c r="AR49" i="1"/>
  <c r="AS49" i="1"/>
  <c r="AT49" i="1"/>
  <c r="AU49" i="1"/>
  <c r="AF50" i="1"/>
  <c r="AG50" i="1"/>
  <c r="AH50" i="1"/>
  <c r="AI50" i="1"/>
  <c r="AJ50" i="1"/>
  <c r="AK50" i="1"/>
  <c r="AQ50" i="1"/>
  <c r="AR50" i="1"/>
  <c r="AS50" i="1"/>
  <c r="AT50" i="1"/>
  <c r="AU50" i="1"/>
  <c r="AK82" i="3" l="1"/>
  <c r="AK81" i="3"/>
  <c r="AK80" i="3"/>
  <c r="AK79" i="3"/>
  <c r="AK77" i="3"/>
  <c r="AK76" i="3"/>
  <c r="AK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58" i="3"/>
  <c r="AK57" i="3"/>
  <c r="AK54" i="3"/>
  <c r="AK52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2" i="3"/>
  <c r="AK31" i="3"/>
  <c r="AK30" i="3"/>
  <c r="AK29" i="3"/>
  <c r="AK27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8" i="3"/>
  <c r="AK7" i="3"/>
  <c r="AK6" i="3"/>
  <c r="AK82" i="1" l="1"/>
  <c r="AK81" i="1"/>
  <c r="AK80" i="1"/>
  <c r="AK79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58" i="1"/>
  <c r="AK57" i="1"/>
  <c r="AK54" i="1"/>
  <c r="AK52" i="1"/>
  <c r="W61" i="3"/>
  <c r="AL61" i="3" s="1"/>
  <c r="W60" i="3"/>
  <c r="AL60" i="3" s="1"/>
  <c r="W59" i="3"/>
  <c r="AL59" i="3" s="1"/>
  <c r="W51" i="3"/>
  <c r="AL51" i="3" s="1"/>
  <c r="W61" i="1"/>
  <c r="AL61" i="1" s="1"/>
  <c r="W60" i="1"/>
  <c r="AL60" i="1" s="1"/>
  <c r="W59" i="1"/>
  <c r="AL59" i="1" s="1"/>
  <c r="AU16" i="3" l="1"/>
  <c r="AU83" i="1" l="1"/>
  <c r="AU82" i="1"/>
  <c r="AU81" i="1"/>
  <c r="AU80" i="1"/>
  <c r="AU79" i="1"/>
  <c r="AU77" i="1"/>
  <c r="AU76" i="1"/>
  <c r="AU75" i="1"/>
  <c r="AU74" i="1"/>
  <c r="AU73" i="1"/>
  <c r="AU72" i="1"/>
  <c r="AU71" i="1"/>
  <c r="AU70" i="1"/>
  <c r="AU69" i="1"/>
  <c r="AU68" i="1"/>
  <c r="AU67" i="1"/>
  <c r="AU66" i="1"/>
  <c r="AU65" i="1"/>
  <c r="AU64" i="1"/>
  <c r="AU63" i="1"/>
  <c r="AU62" i="1"/>
  <c r="AU58" i="1"/>
  <c r="AU57" i="1"/>
  <c r="AU54" i="1"/>
  <c r="AU52" i="1"/>
  <c r="V61" i="1"/>
  <c r="AV61" i="1" s="1"/>
  <c r="U61" i="1"/>
  <c r="AK61" i="1" s="1"/>
  <c r="V60" i="1"/>
  <c r="AV60" i="1" s="1"/>
  <c r="U60" i="1"/>
  <c r="AK60" i="1" s="1"/>
  <c r="V59" i="1"/>
  <c r="AV59" i="1" s="1"/>
  <c r="U59" i="1"/>
  <c r="AK59" i="1" s="1"/>
  <c r="V51" i="1"/>
  <c r="AV51" i="1" s="1"/>
  <c r="U51" i="1"/>
  <c r="AK51" i="1" s="1"/>
  <c r="V61" i="3"/>
  <c r="V60" i="3"/>
  <c r="V59" i="3"/>
  <c r="V51" i="3"/>
  <c r="AV51" i="3" l="1"/>
  <c r="AV59" i="3"/>
  <c r="AV60" i="3"/>
  <c r="AV61" i="3"/>
  <c r="AU61" i="1"/>
  <c r="AU59" i="1"/>
  <c r="AU60" i="1"/>
  <c r="AU51" i="1"/>
  <c r="U61" i="3"/>
  <c r="AK61" i="3" s="1"/>
  <c r="U60" i="3"/>
  <c r="AK60" i="3" s="1"/>
  <c r="U59" i="3"/>
  <c r="AK59" i="3" s="1"/>
  <c r="U51" i="3"/>
  <c r="AK51" i="3" s="1"/>
  <c r="AU83" i="3"/>
  <c r="AU82" i="3"/>
  <c r="AU81" i="3"/>
  <c r="AU80" i="3"/>
  <c r="AU79" i="3"/>
  <c r="AU77" i="3"/>
  <c r="AU76" i="3"/>
  <c r="AU75" i="3"/>
  <c r="AU74" i="3"/>
  <c r="AU73" i="3"/>
  <c r="AU72" i="3"/>
  <c r="AU71" i="3"/>
  <c r="AU70" i="3"/>
  <c r="AU69" i="3"/>
  <c r="AU68" i="3"/>
  <c r="AU67" i="3"/>
  <c r="AU66" i="3"/>
  <c r="AU65" i="3"/>
  <c r="AU64" i="3"/>
  <c r="AU63" i="3"/>
  <c r="AU62" i="3"/>
  <c r="AU61" i="3"/>
  <c r="AU60" i="3"/>
  <c r="AU59" i="3"/>
  <c r="AU58" i="3"/>
  <c r="AU57" i="3"/>
  <c r="AU54" i="3"/>
  <c r="AU52" i="3"/>
  <c r="AU51" i="3"/>
  <c r="AU50" i="3"/>
  <c r="AU49" i="3"/>
  <c r="AU48" i="3"/>
  <c r="AU47" i="3"/>
  <c r="AU46" i="3"/>
  <c r="AU45" i="3"/>
  <c r="AU44" i="3"/>
  <c r="AU43" i="3"/>
  <c r="AU42" i="3"/>
  <c r="AU41" i="3"/>
  <c r="AU40" i="3"/>
  <c r="AU39" i="3"/>
  <c r="AU38" i="3"/>
  <c r="AU37" i="3"/>
  <c r="AU36" i="3"/>
  <c r="AU35" i="3"/>
  <c r="AU34" i="3"/>
  <c r="AU32" i="3"/>
  <c r="AU31" i="3"/>
  <c r="AU30" i="3"/>
  <c r="AU29" i="3"/>
  <c r="AU27" i="3"/>
  <c r="AU24" i="3"/>
  <c r="AU23" i="3"/>
  <c r="AU22" i="3"/>
  <c r="AU21" i="3"/>
  <c r="AU20" i="3"/>
  <c r="AU19" i="3"/>
  <c r="AU18" i="3"/>
  <c r="AU17" i="3"/>
  <c r="AU15" i="3"/>
  <c r="AU14" i="3"/>
  <c r="AU13" i="3"/>
  <c r="AU12" i="3"/>
  <c r="AU11" i="3"/>
  <c r="AU9" i="3"/>
  <c r="AU8" i="3"/>
  <c r="AU7" i="3"/>
  <c r="AU6" i="3"/>
  <c r="AJ61" i="1" l="1"/>
  <c r="AJ60" i="1"/>
  <c r="AJ59" i="1"/>
  <c r="AJ51" i="1"/>
  <c r="AJ80" i="1"/>
  <c r="AJ77" i="1"/>
  <c r="AJ76" i="1"/>
  <c r="AJ75" i="1"/>
  <c r="AJ71" i="1"/>
  <c r="AJ69" i="1"/>
  <c r="AJ68" i="1"/>
  <c r="AJ67" i="1"/>
  <c r="AJ66" i="1"/>
  <c r="AJ58" i="1"/>
  <c r="AJ54" i="1"/>
  <c r="AJ52" i="1" l="1"/>
  <c r="AJ72" i="1"/>
  <c r="AJ73" i="1"/>
  <c r="AJ62" i="1"/>
  <c r="AJ79" i="1"/>
  <c r="AJ64" i="1"/>
  <c r="AJ81" i="1"/>
  <c r="AJ65" i="1"/>
  <c r="AJ82" i="1"/>
  <c r="AJ70" i="1"/>
  <c r="AJ63" i="1"/>
  <c r="AJ57" i="1"/>
  <c r="AJ74" i="1"/>
  <c r="AJ65" i="3"/>
  <c r="AJ64" i="3"/>
  <c r="AJ45" i="3"/>
  <c r="AJ33" i="3"/>
  <c r="AJ30" i="3"/>
  <c r="AJ13" i="3"/>
  <c r="AJ12" i="3"/>
  <c r="AJ82" i="3" l="1"/>
  <c r="AJ46" i="3"/>
  <c r="AJ37" i="3"/>
  <c r="AJ76" i="3"/>
  <c r="AJ6" i="3"/>
  <c r="AJ38" i="3"/>
  <c r="AJ81" i="3"/>
  <c r="AJ20" i="3"/>
  <c r="AJ54" i="3"/>
  <c r="AJ21" i="3"/>
  <c r="AJ57" i="3"/>
  <c r="AJ60" i="3"/>
  <c r="AJ16" i="3"/>
  <c r="AJ41" i="3"/>
  <c r="AJ68" i="3"/>
  <c r="AJ24" i="3"/>
  <c r="AJ72" i="3"/>
  <c r="AJ29" i="3"/>
  <c r="AJ49" i="3"/>
  <c r="AJ73" i="3"/>
  <c r="AJ14" i="3"/>
  <c r="AJ22" i="3"/>
  <c r="AJ31" i="3"/>
  <c r="AJ39" i="3"/>
  <c r="AJ47" i="3"/>
  <c r="AJ58" i="3"/>
  <c r="AJ66" i="3"/>
  <c r="AJ74" i="3"/>
  <c r="AJ15" i="3"/>
  <c r="AJ23" i="3"/>
  <c r="AJ32" i="3"/>
  <c r="AJ40" i="3"/>
  <c r="AJ48" i="3"/>
  <c r="AJ59" i="3"/>
  <c r="AJ67" i="3"/>
  <c r="AJ75" i="3"/>
  <c r="AJ7" i="3"/>
  <c r="AJ17" i="3"/>
  <c r="AJ34" i="3"/>
  <c r="AJ42" i="3"/>
  <c r="AJ50" i="3"/>
  <c r="AJ61" i="3"/>
  <c r="AJ69" i="3"/>
  <c r="AJ77" i="3"/>
  <c r="AJ8" i="3"/>
  <c r="AJ18" i="3"/>
  <c r="AJ27" i="3"/>
  <c r="AJ35" i="3"/>
  <c r="AJ43" i="3"/>
  <c r="AJ51" i="3"/>
  <c r="AJ62" i="3"/>
  <c r="AJ70" i="3"/>
  <c r="AJ79" i="3"/>
  <c r="AJ11" i="3"/>
  <c r="AJ19" i="3"/>
  <c r="AJ28" i="3"/>
  <c r="AJ36" i="3"/>
  <c r="AJ44" i="3"/>
  <c r="AJ52" i="3"/>
  <c r="AJ63" i="3"/>
  <c r="AJ71" i="3"/>
  <c r="AJ80" i="3"/>
  <c r="AT83" i="1"/>
  <c r="AT82" i="1"/>
  <c r="AT75" i="1"/>
  <c r="AT74" i="1"/>
  <c r="AT73" i="1"/>
  <c r="AT67" i="1"/>
  <c r="AT66" i="1"/>
  <c r="AT65" i="1"/>
  <c r="AT61" i="1"/>
  <c r="AT51" i="1"/>
  <c r="AT60" i="1"/>
  <c r="AT59" i="1"/>
  <c r="AT81" i="1"/>
  <c r="AT80" i="1"/>
  <c r="AT79" i="1"/>
  <c r="AT77" i="1"/>
  <c r="AT76" i="1"/>
  <c r="AT72" i="1"/>
  <c r="AT71" i="1"/>
  <c r="AT70" i="1"/>
  <c r="AT69" i="1"/>
  <c r="AT68" i="1"/>
  <c r="AT64" i="1"/>
  <c r="AT63" i="1"/>
  <c r="AT62" i="1"/>
  <c r="AT54" i="1"/>
  <c r="AT52" i="1"/>
  <c r="AT58" i="1" l="1"/>
  <c r="AT57" i="1"/>
  <c r="AT20" i="3" l="1"/>
  <c r="AT57" i="3"/>
  <c r="AT59" i="3"/>
  <c r="AT13" i="3"/>
  <c r="AT30" i="3"/>
  <c r="AT46" i="3"/>
  <c r="AT58" i="3"/>
  <c r="AT69" i="3"/>
  <c r="AT77" i="3"/>
  <c r="AT60" i="3"/>
  <c r="AT14" i="3"/>
  <c r="AT22" i="3"/>
  <c r="AT31" i="3"/>
  <c r="AT39" i="3"/>
  <c r="AT47" i="3"/>
  <c r="AT62" i="3"/>
  <c r="AT70" i="3"/>
  <c r="AT79" i="3"/>
  <c r="AT61" i="3"/>
  <c r="AT6" i="3"/>
  <c r="AT15" i="3"/>
  <c r="AT23" i="3"/>
  <c r="AT32" i="3"/>
  <c r="AT40" i="3"/>
  <c r="AT48" i="3"/>
  <c r="AT63" i="3"/>
  <c r="AT71" i="3"/>
  <c r="AT80" i="3"/>
  <c r="AT29" i="3"/>
  <c r="AT68" i="3"/>
  <c r="AT7" i="3"/>
  <c r="AT16" i="3"/>
  <c r="AT24" i="3"/>
  <c r="AT33" i="3"/>
  <c r="AT41" i="3"/>
  <c r="AT49" i="3"/>
  <c r="AT64" i="3"/>
  <c r="AT72" i="3"/>
  <c r="AT81" i="3"/>
  <c r="AT8" i="3"/>
  <c r="AT17" i="3"/>
  <c r="AT34" i="3"/>
  <c r="AT50" i="3"/>
  <c r="AT65" i="3"/>
  <c r="AT73" i="3"/>
  <c r="AT82" i="3"/>
  <c r="AT37" i="3"/>
  <c r="AT18" i="3"/>
  <c r="AT35" i="3"/>
  <c r="AT43" i="3"/>
  <c r="AT52" i="3"/>
  <c r="AT66" i="3"/>
  <c r="AT74" i="3"/>
  <c r="AT83" i="3"/>
  <c r="AT12" i="3"/>
  <c r="AT45" i="3"/>
  <c r="AT76" i="3"/>
  <c r="AT9" i="3"/>
  <c r="AT27" i="3"/>
  <c r="AT11" i="3"/>
  <c r="AT19" i="3"/>
  <c r="AT28" i="3"/>
  <c r="AT36" i="3"/>
  <c r="AT44" i="3"/>
  <c r="AT54" i="3"/>
  <c r="AT67" i="3"/>
  <c r="AT75" i="3"/>
  <c r="AT51" i="3"/>
  <c r="AT42" i="3"/>
  <c r="AT21" i="3"/>
  <c r="AT38" i="3"/>
  <c r="AS83" i="1"/>
  <c r="AS82" i="1"/>
  <c r="AS81" i="1"/>
  <c r="AS80" i="1"/>
  <c r="AS79" i="1"/>
  <c r="AS77" i="1"/>
  <c r="AS76" i="1"/>
  <c r="AS75" i="1"/>
  <c r="AS74" i="1"/>
  <c r="AS73" i="1"/>
  <c r="AS72" i="1"/>
  <c r="AS71" i="1"/>
  <c r="AS70" i="1"/>
  <c r="AS69" i="1"/>
  <c r="AS68" i="1"/>
  <c r="AS67" i="1"/>
  <c r="AS66" i="1"/>
  <c r="AS65" i="1"/>
  <c r="AS64" i="1"/>
  <c r="AS63" i="1"/>
  <c r="AS62" i="1"/>
  <c r="AS61" i="1"/>
  <c r="AS60" i="1"/>
  <c r="AS59" i="1"/>
  <c r="AS58" i="1"/>
  <c r="AS57" i="1"/>
  <c r="AS54" i="1"/>
  <c r="AS52" i="1"/>
  <c r="AS51" i="1"/>
  <c r="AI66" i="3"/>
  <c r="AI52" i="3"/>
  <c r="AI50" i="3"/>
  <c r="AI61" i="3"/>
  <c r="AI60" i="3"/>
  <c r="AI59" i="3"/>
  <c r="AI81" i="3"/>
  <c r="AI77" i="3"/>
  <c r="AI72" i="3"/>
  <c r="AI69" i="3"/>
  <c r="AI68" i="3"/>
  <c r="AI67" i="3"/>
  <c r="AI64" i="3"/>
  <c r="AI47" i="3"/>
  <c r="AI41" i="3"/>
  <c r="AI39" i="3"/>
  <c r="AI33" i="3"/>
  <c r="AI27" i="3"/>
  <c r="AI24" i="3"/>
  <c r="AI16" i="3"/>
  <c r="AI15" i="3"/>
  <c r="AI11" i="3"/>
  <c r="AI7" i="3"/>
  <c r="AI6" i="3"/>
  <c r="AI83" i="3"/>
  <c r="AI82" i="3"/>
  <c r="AI79" i="3"/>
  <c r="AI74" i="3"/>
  <c r="AI73" i="3"/>
  <c r="AI70" i="3"/>
  <c r="AI43" i="3"/>
  <c r="AI42" i="3"/>
  <c r="AI35" i="3"/>
  <c r="AI34" i="3"/>
  <c r="AI17" i="3"/>
  <c r="AI8" i="3"/>
  <c r="AI18" i="3" l="1"/>
  <c r="AI9" i="3"/>
  <c r="AI80" i="3"/>
  <c r="AI32" i="3"/>
  <c r="AI48" i="3"/>
  <c r="AI49" i="3"/>
  <c r="AI23" i="3"/>
  <c r="AI40" i="3"/>
  <c r="AI57" i="3"/>
  <c r="AI71" i="3"/>
  <c r="AI65" i="3"/>
  <c r="AI19" i="3"/>
  <c r="AI36" i="3"/>
  <c r="AI44" i="3"/>
  <c r="AI12" i="3"/>
  <c r="AI20" i="3"/>
  <c r="AI29" i="3"/>
  <c r="AI37" i="3"/>
  <c r="AI45" i="3"/>
  <c r="AI51" i="3"/>
  <c r="AI62" i="3"/>
  <c r="AI21" i="3"/>
  <c r="AI30" i="3"/>
  <c r="AI38" i="3"/>
  <c r="AI75" i="3"/>
  <c r="AI63" i="3"/>
  <c r="AI58" i="3"/>
  <c r="AI13" i="3"/>
  <c r="AI46" i="3"/>
  <c r="AI14" i="3"/>
  <c r="AI22" i="3"/>
  <c r="AI31" i="3"/>
  <c r="AI76" i="3"/>
  <c r="AI54" i="3"/>
  <c r="AI28" i="3"/>
  <c r="AR61" i="3"/>
  <c r="AR60" i="3"/>
  <c r="AR59" i="3"/>
  <c r="AR51" i="3"/>
  <c r="AR51" i="1" l="1"/>
  <c r="AR61" i="1"/>
  <c r="AR60" i="1"/>
  <c r="AR59" i="1"/>
  <c r="AQ74" i="3" l="1"/>
  <c r="AQ73" i="3"/>
  <c r="AQ72" i="3"/>
  <c r="AQ71" i="3"/>
  <c r="AQ70" i="3"/>
  <c r="AQ69" i="3"/>
  <c r="AQ68" i="3"/>
  <c r="AQ67" i="3"/>
  <c r="AQ66" i="3"/>
  <c r="AQ65" i="3"/>
  <c r="AQ64" i="3"/>
  <c r="AQ63" i="3"/>
  <c r="AQ62" i="3"/>
  <c r="AQ61" i="3"/>
  <c r="AQ60" i="3"/>
  <c r="AQ59" i="3"/>
  <c r="AQ58" i="3"/>
  <c r="AQ57" i="3"/>
  <c r="AQ52" i="3"/>
  <c r="AQ51" i="3"/>
  <c r="AQ50" i="3"/>
  <c r="AQ49" i="3"/>
  <c r="AQ48" i="3"/>
  <c r="AQ47" i="3"/>
  <c r="AQ46" i="3"/>
  <c r="AQ45" i="3"/>
  <c r="AQ44" i="3"/>
  <c r="AQ43" i="3"/>
  <c r="AQ41" i="3"/>
  <c r="AQ40" i="3"/>
  <c r="AQ39" i="3"/>
  <c r="AQ38" i="3"/>
  <c r="AQ37" i="3"/>
  <c r="AQ35" i="3"/>
  <c r="AQ34" i="3"/>
  <c r="AQ33" i="3"/>
  <c r="AQ32" i="3"/>
  <c r="AQ31" i="3"/>
  <c r="AQ30" i="3"/>
  <c r="AQ29" i="3"/>
  <c r="AQ28" i="3"/>
  <c r="AQ27" i="3"/>
  <c r="AQ24" i="3"/>
  <c r="AQ23" i="3"/>
  <c r="AQ22" i="3"/>
  <c r="AQ21" i="3"/>
  <c r="AQ20" i="3"/>
  <c r="AQ19" i="3"/>
  <c r="AQ18" i="3"/>
  <c r="AQ17" i="3"/>
  <c r="AQ16" i="3"/>
  <c r="AQ15" i="3"/>
  <c r="AQ14" i="3"/>
  <c r="AQ12" i="3"/>
  <c r="AQ9" i="3"/>
  <c r="AQ8" i="3"/>
  <c r="AQ7" i="3"/>
  <c r="AQ6" i="3"/>
  <c r="AQ74" i="1" l="1"/>
  <c r="AQ73" i="1"/>
  <c r="AQ72" i="1"/>
  <c r="AQ71" i="1"/>
  <c r="AQ70" i="1"/>
  <c r="AQ69" i="1"/>
  <c r="AQ68" i="1"/>
  <c r="AQ67" i="1"/>
  <c r="AQ66" i="1"/>
  <c r="AQ65" i="1"/>
  <c r="AQ64" i="1"/>
  <c r="AQ63" i="1"/>
  <c r="AQ62" i="1"/>
  <c r="AQ61" i="1"/>
  <c r="AQ60" i="1"/>
  <c r="AQ59" i="1"/>
  <c r="AQ58" i="1"/>
  <c r="AQ57" i="1"/>
  <c r="AQ52" i="1"/>
  <c r="AQ51" i="1"/>
  <c r="AI52" i="1" l="1"/>
  <c r="AI81" i="1"/>
  <c r="AI75" i="1"/>
  <c r="AI69" i="1"/>
  <c r="AI79" i="1"/>
  <c r="AI80" i="1"/>
  <c r="AI72" i="1"/>
  <c r="AI66" i="1"/>
  <c r="AI74" i="1"/>
  <c r="AI54" i="1"/>
  <c r="AI67" i="1"/>
  <c r="AI57" i="1"/>
  <c r="AI68" i="1"/>
  <c r="AI76" i="1"/>
  <c r="AI58" i="1"/>
  <c r="AI62" i="1"/>
  <c r="AI63" i="1"/>
  <c r="AI64" i="1"/>
  <c r="AI65" i="1"/>
  <c r="AI73" i="1"/>
  <c r="AI82" i="1"/>
  <c r="AI77" i="1"/>
  <c r="AI70" i="1"/>
  <c r="AI71" i="1"/>
  <c r="AI83" i="1"/>
  <c r="AS83" i="3"/>
  <c r="AS82" i="3"/>
  <c r="AS81" i="3"/>
  <c r="AS80" i="3"/>
  <c r="AS79" i="3"/>
  <c r="AS77" i="3"/>
  <c r="AS76" i="3"/>
  <c r="AS75" i="3"/>
  <c r="AS74" i="3"/>
  <c r="AS73" i="3"/>
  <c r="AS72" i="3"/>
  <c r="AS71" i="3"/>
  <c r="AS70" i="3"/>
  <c r="AS69" i="3"/>
  <c r="AS68" i="3"/>
  <c r="AS67" i="3"/>
  <c r="AS66" i="3"/>
  <c r="AS65" i="3"/>
  <c r="AS64" i="3"/>
  <c r="AS63" i="3"/>
  <c r="AS62" i="3"/>
  <c r="AS58" i="3"/>
  <c r="AS57" i="3"/>
  <c r="AS54" i="3"/>
  <c r="AS52" i="3"/>
  <c r="AS50" i="3"/>
  <c r="AS49" i="3"/>
  <c r="AS48" i="3"/>
  <c r="AS47" i="3"/>
  <c r="AS46" i="3"/>
  <c r="AS45" i="3"/>
  <c r="AS44" i="3"/>
  <c r="AS43" i="3"/>
  <c r="AS42" i="3"/>
  <c r="AS41" i="3"/>
  <c r="AS40" i="3"/>
  <c r="AS39" i="3"/>
  <c r="AS38" i="3"/>
  <c r="AS37" i="3"/>
  <c r="AS36" i="3"/>
  <c r="AS35" i="3"/>
  <c r="AS34" i="3"/>
  <c r="AS33" i="3"/>
  <c r="AS32" i="3"/>
  <c r="AS31" i="3"/>
  <c r="AS30" i="3"/>
  <c r="AS29" i="3"/>
  <c r="AS28" i="3"/>
  <c r="AS27" i="3"/>
  <c r="AS24" i="3"/>
  <c r="AS23" i="3"/>
  <c r="AS22" i="3"/>
  <c r="AS21" i="3"/>
  <c r="AS20" i="3"/>
  <c r="AS19" i="3"/>
  <c r="AS18" i="3"/>
  <c r="AS17" i="3"/>
  <c r="AS16" i="3"/>
  <c r="AS15" i="3"/>
  <c r="AS14" i="3"/>
  <c r="AS13" i="3"/>
  <c r="AS12" i="3"/>
  <c r="AS11" i="3"/>
  <c r="AS9" i="3"/>
  <c r="AS8" i="3"/>
  <c r="AS7" i="3"/>
  <c r="AS6" i="3"/>
  <c r="AS51" i="3" l="1"/>
  <c r="AS59" i="3"/>
  <c r="AS60" i="3"/>
  <c r="AS61" i="3"/>
  <c r="AI59" i="1" l="1"/>
  <c r="AI51" i="1" l="1"/>
  <c r="AI60" i="1"/>
  <c r="AI61" i="1"/>
  <c r="AH83" i="1" l="1"/>
  <c r="AH82" i="1"/>
  <c r="AH81" i="1"/>
  <c r="AH80" i="1"/>
  <c r="AH79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59" i="1"/>
  <c r="AH58" i="1"/>
  <c r="AH57" i="1"/>
  <c r="AH54" i="1"/>
  <c r="AH52" i="1"/>
  <c r="AH51" i="1"/>
  <c r="AH60" i="1" l="1"/>
  <c r="AH61" i="1"/>
  <c r="AH77" i="1"/>
  <c r="AH63" i="3" l="1"/>
  <c r="AH82" i="3"/>
  <c r="AH74" i="3"/>
  <c r="AH9" i="3"/>
  <c r="AH77" i="3" l="1"/>
  <c r="AH59" i="3" l="1"/>
  <c r="AH83" i="3"/>
  <c r="AH81" i="3"/>
  <c r="AH80" i="3"/>
  <c r="AH79" i="3"/>
  <c r="AH76" i="3"/>
  <c r="AH75" i="3"/>
  <c r="AH73" i="3"/>
  <c r="AH72" i="3"/>
  <c r="AH71" i="3"/>
  <c r="AH70" i="3"/>
  <c r="AH69" i="3"/>
  <c r="AH68" i="3"/>
  <c r="AH67" i="3"/>
  <c r="AH66" i="3"/>
  <c r="AH65" i="3"/>
  <c r="AH64" i="3"/>
  <c r="AH62" i="3"/>
  <c r="AH61" i="3"/>
  <c r="AH60" i="3"/>
  <c r="AH58" i="3"/>
  <c r="AH57" i="3"/>
  <c r="AH54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8" i="3"/>
  <c r="AH7" i="3"/>
  <c r="AH6" i="3"/>
  <c r="AR74" i="1" l="1"/>
  <c r="AR73" i="1"/>
  <c r="AR72" i="1"/>
  <c r="AR71" i="1"/>
  <c r="AR70" i="1"/>
  <c r="AR69" i="1"/>
  <c r="AR68" i="1"/>
  <c r="AR67" i="1"/>
  <c r="AR66" i="1"/>
  <c r="AR65" i="1"/>
  <c r="AR64" i="1"/>
  <c r="AR63" i="1"/>
  <c r="AR62" i="1"/>
  <c r="AR58" i="1"/>
  <c r="AR57" i="1"/>
  <c r="AR52" i="1"/>
  <c r="AR74" i="3"/>
  <c r="AR73" i="3"/>
  <c r="AR72" i="3"/>
  <c r="AR71" i="3"/>
  <c r="AR70" i="3"/>
  <c r="AR69" i="3"/>
  <c r="AR68" i="3"/>
  <c r="AR67" i="3"/>
  <c r="AR66" i="3"/>
  <c r="AR65" i="3"/>
  <c r="AR64" i="3"/>
  <c r="AR63" i="3"/>
  <c r="AR62" i="3"/>
  <c r="AR58" i="3"/>
  <c r="AR57" i="3"/>
  <c r="AR52" i="3"/>
  <c r="AR50" i="3"/>
  <c r="AR49" i="3"/>
  <c r="AR48" i="3"/>
  <c r="AR47" i="3"/>
  <c r="AR46" i="3"/>
  <c r="AR45" i="3"/>
  <c r="AR44" i="3"/>
  <c r="AR43" i="3"/>
  <c r="AR41" i="3"/>
  <c r="AR40" i="3"/>
  <c r="AR39" i="3"/>
  <c r="AR38" i="3"/>
  <c r="AR37" i="3"/>
  <c r="AR35" i="3"/>
  <c r="AR34" i="3"/>
  <c r="AR33" i="3"/>
  <c r="AR32" i="3"/>
  <c r="AR31" i="3"/>
  <c r="AR30" i="3"/>
  <c r="AR29" i="3"/>
  <c r="AR28" i="3"/>
  <c r="AR27" i="3"/>
  <c r="AR24" i="3"/>
  <c r="AR23" i="3"/>
  <c r="AR22" i="3"/>
  <c r="AR21" i="3"/>
  <c r="AR20" i="3"/>
  <c r="AR19" i="3"/>
  <c r="AR18" i="3"/>
  <c r="AR17" i="3"/>
  <c r="AR16" i="3"/>
  <c r="AR15" i="3"/>
  <c r="AR14" i="3"/>
  <c r="AR12" i="3"/>
  <c r="AR9" i="3"/>
  <c r="AR8" i="3"/>
  <c r="AR7" i="3"/>
  <c r="AR6" i="3"/>
  <c r="AF39" i="3" l="1"/>
  <c r="AG60" i="3"/>
  <c r="AG61" i="3"/>
  <c r="AG74" i="3" l="1"/>
  <c r="AG73" i="3"/>
  <c r="AG72" i="3"/>
  <c r="AG71" i="3"/>
  <c r="AG70" i="3"/>
  <c r="AG69" i="3"/>
  <c r="AG68" i="3"/>
  <c r="AG67" i="3"/>
  <c r="AG66" i="3"/>
  <c r="AG65" i="3"/>
  <c r="AG64" i="3"/>
  <c r="AG63" i="3"/>
  <c r="AG62" i="3"/>
  <c r="AG59" i="3"/>
  <c r="AG58" i="3"/>
  <c r="AG57" i="3"/>
  <c r="AG52" i="3"/>
  <c r="AF52" i="3"/>
  <c r="AG51" i="3"/>
  <c r="AF51" i="3"/>
  <c r="AG50" i="3"/>
  <c r="AF50" i="3"/>
  <c r="AG49" i="3"/>
  <c r="AF49" i="3"/>
  <c r="AG48" i="3"/>
  <c r="AF48" i="3"/>
  <c r="AG47" i="3"/>
  <c r="AF47" i="3"/>
  <c r="AG46" i="3"/>
  <c r="AF46" i="3"/>
  <c r="AG45" i="3"/>
  <c r="AF45" i="3"/>
  <c r="AG44" i="3"/>
  <c r="AF44" i="3"/>
  <c r="AG43" i="3"/>
  <c r="AF43" i="3"/>
  <c r="AG41" i="3"/>
  <c r="AF41" i="3"/>
  <c r="AG40" i="3"/>
  <c r="AF40" i="3"/>
  <c r="AG39" i="3"/>
  <c r="AG38" i="3"/>
  <c r="AF38" i="3"/>
  <c r="AG37" i="3"/>
  <c r="AF37" i="3"/>
  <c r="AG35" i="3"/>
  <c r="AF35" i="3"/>
  <c r="AG34" i="3"/>
  <c r="AF34" i="3"/>
  <c r="AG33" i="3"/>
  <c r="AF33" i="3"/>
  <c r="AG32" i="3"/>
  <c r="AF32" i="3"/>
  <c r="AG31" i="3"/>
  <c r="AF31" i="3"/>
  <c r="AG30" i="3"/>
  <c r="AF30" i="3"/>
  <c r="AG29" i="3"/>
  <c r="AF29" i="3"/>
  <c r="AG28" i="3"/>
  <c r="AF28" i="3"/>
  <c r="AG27" i="3"/>
  <c r="AF27" i="3"/>
  <c r="AG24" i="3"/>
  <c r="AF24" i="3"/>
  <c r="AG23" i="3"/>
  <c r="AF23" i="3"/>
  <c r="AG22" i="3"/>
  <c r="AF22" i="3"/>
  <c r="AG21" i="3"/>
  <c r="AF21" i="3"/>
  <c r="AG20" i="3"/>
  <c r="AF20" i="3"/>
  <c r="AG19" i="3"/>
  <c r="AF19" i="3"/>
  <c r="AG18" i="3"/>
  <c r="AF18" i="3"/>
  <c r="AG17" i="3"/>
  <c r="AF17" i="3"/>
  <c r="AG16" i="3"/>
  <c r="AF16" i="3"/>
  <c r="AG15" i="3"/>
  <c r="AF15" i="3"/>
  <c r="AG14" i="3"/>
  <c r="AF14" i="3"/>
  <c r="AG12" i="3"/>
  <c r="AF12" i="3"/>
  <c r="AG9" i="3"/>
  <c r="AF9" i="3"/>
  <c r="AG8" i="3"/>
  <c r="AG7" i="3"/>
  <c r="AG6" i="3"/>
  <c r="AF52" i="1" l="1"/>
  <c r="AF51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59" i="1"/>
  <c r="AG58" i="1"/>
  <c r="AG57" i="1"/>
  <c r="AG52" i="1"/>
  <c r="AG51" i="1"/>
</calcChain>
</file>

<file path=xl/sharedStrings.xml><?xml version="1.0" encoding="utf-8"?>
<sst xmlns="http://schemas.openxmlformats.org/spreadsheetml/2006/main" count="320" uniqueCount="134">
  <si>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</si>
  <si>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</si>
  <si>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</si>
  <si>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</si>
  <si>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</si>
  <si>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</si>
  <si>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</si>
  <si>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</si>
  <si>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</si>
  <si>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</si>
  <si>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</si>
  <si>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</si>
  <si>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</si>
  <si>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</si>
  <si>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</si>
  <si>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</si>
  <si>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</si>
  <si>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</si>
  <si>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</si>
  <si>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</si>
  <si>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</si>
  <si>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</si>
  <si>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</si>
  <si>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</si>
  <si>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</si>
  <si>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</si>
  <si>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</si>
  <si>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</si>
  <si>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</si>
  <si>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</si>
  <si>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</si>
  <si>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</si>
  <si>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</si>
  <si>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</si>
  <si>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</si>
  <si>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</si>
  <si>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</si>
  <si>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</si>
  <si>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</si>
  <si>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</si>
  <si>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</si>
  <si>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</si>
  <si>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</si>
  <si>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GU0278</t>
  </si>
  <si>
    <t>J 1074</t>
  </si>
  <si>
    <t>GU0492</t>
  </si>
  <si>
    <t>L 928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</si>
  <si>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</si>
  <si>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</si>
  <si>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</si>
  <si>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</si>
  <si>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</si>
  <si>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</si>
  <si>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</si>
  <si>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</si>
  <si>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</si>
  <si>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</si>
  <si>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</si>
  <si>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</si>
  <si>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</si>
  <si>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</si>
  <si>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</si>
  <si>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</si>
  <si>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</si>
  <si>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</si>
  <si>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</si>
  <si>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</si>
  <si>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</si>
  <si>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</si>
  <si>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</si>
  <si>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</si>
  <si>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</si>
  <si>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</si>
  <si>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</si>
  <si>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</si>
  <si>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</si>
  <si>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</si>
  <si>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</si>
  <si>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</si>
  <si>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</si>
  <si>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</si>
  <si>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</si>
  <si>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</si>
  <si>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</si>
  <si>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</si>
  <si>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</si>
  <si>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</si>
  <si>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</si>
  <si>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</si>
  <si>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</si>
  <si>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</si>
  <si>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</si>
  <si>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July - July Annual Subsidence (feet)</t>
  </si>
  <si>
    <t>Shorter Duration  (Calculation starts with first December occupation or first July occupation)</t>
  </si>
  <si>
    <t>160R</t>
  </si>
  <si>
    <t>HS2494</t>
  </si>
  <si>
    <t>LIFESON</t>
  </si>
  <si>
    <t>H41 1941</t>
  </si>
  <si>
    <t>HELMER</t>
  </si>
  <si>
    <t xml:space="preserve"> </t>
  </si>
  <si>
    <t>201R</t>
  </si>
  <si>
    <t>G 990 RESET</t>
  </si>
  <si>
    <t>132R</t>
  </si>
  <si>
    <t>Destroyed</t>
  </si>
  <si>
    <t>BM 2062T ?????????</t>
  </si>
  <si>
    <t>GPS observation point moved for safety or constuction activity. Adjustment elevations modified to original monitoring point via levels (See below for deltas).</t>
  </si>
  <si>
    <t>Destroyed with no ability to relate new monitoing point to original monitoring point.</t>
  </si>
  <si>
    <t>ALISO WD 1 RESET</t>
  </si>
  <si>
    <t xml:space="preserve">G 990 </t>
  </si>
  <si>
    <t>BM 201R add -11.23 to GPS Elevation for Final Elevation</t>
  </si>
  <si>
    <t>Y 549</t>
  </si>
  <si>
    <t>KAKTUS  (Offset)</t>
  </si>
  <si>
    <t>KAKTUS (Offset)</t>
  </si>
  <si>
    <t>GT1871A</t>
  </si>
  <si>
    <t>CBP/SJB</t>
  </si>
  <si>
    <t>E 1420</t>
  </si>
  <si>
    <t>G 706 RESET 1962</t>
  </si>
  <si>
    <t>PK SET NEAR BC G 990 +/-</t>
  </si>
  <si>
    <t>HPGN</t>
  </si>
  <si>
    <t>NEWMAN</t>
  </si>
  <si>
    <t>SALT RM</t>
  </si>
  <si>
    <t>SPEAK AZ MK CADH</t>
  </si>
  <si>
    <t>WILLIAM3</t>
  </si>
  <si>
    <t>Constrained Adj - July 2021</t>
  </si>
  <si>
    <t>Initial December Survey Year</t>
  </si>
  <si>
    <t>Initial December Survey Elevation</t>
  </si>
  <si>
    <t>Initial July Survey Year</t>
  </si>
  <si>
    <t>Initial July Survey Elevation</t>
  </si>
  <si>
    <t>Free Adjustment X, Y, Z Control Point</t>
  </si>
  <si>
    <t>Constrained Adjustment X, Y, Z Control Point</t>
  </si>
  <si>
    <t>Free Adjustment - December 2021</t>
  </si>
  <si>
    <t>DH6667</t>
  </si>
  <si>
    <t>KIDDO</t>
  </si>
  <si>
    <t>Current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</si>
</sst>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33" borderId="10" xfId="0" applyFill="1" applyBorder="1" applyAlignment="1">
      <alignment horizontal="center"/>
    </xf>
    <xf numFmtId="0" fontId="0" fillId="33" borderId="0" xfId="0" applyFill="1"/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 applyBorder="1"/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/>
    <xf numFmtId="0" fontId="0" fillId="0" borderId="0" xfId="0"/>
    <xf numFmtId="2" fontId="0" fillId="0" borderId="10" xfId="0" applyNumberFormat="1" applyFont="1" applyBorder="1" applyAlignment="1">
      <alignment horizontal="center"/>
    </xf>
    <xf numFmtId="17" fontId="0" fillId="0" borderId="21" xfId="0" quotePrefix="1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4" borderId="0" xfId="0" applyFill="1"/>
    <xf numFmtId="2" fontId="19" fillId="34" borderId="10" xfId="0" applyNumberFormat="1" applyFont="1" applyFill="1" applyBorder="1" applyAlignment="1">
      <alignment horizontal="center"/>
    </xf>
    <xf numFmtId="2" fontId="0" fillId="34" borderId="10" xfId="0" applyNumberFormat="1" applyFont="1" applyFill="1" applyBorder="1" applyAlignment="1">
      <alignment horizontal="center"/>
    </xf>
    <xf numFmtId="2" fontId="18" fillId="34" borderId="10" xfId="0" applyNumberFormat="1" applyFont="1" applyFill="1" applyBorder="1" applyAlignment="1">
      <alignment horizontal="center"/>
    </xf>
    <xf numFmtId="0" fontId="0" fillId="35" borderId="0" xfId="0" applyFill="1" applyAlignment="1">
      <alignment horizontal="center"/>
    </xf>
    <xf numFmtId="17" fontId="0" fillId="0" borderId="22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0" fillId="34" borderId="16" xfId="0" applyNumberFormat="1" applyFill="1" applyBorder="1" applyAlignment="1">
      <alignment horizontal="center"/>
    </xf>
    <xf numFmtId="0" fontId="0" fillId="34" borderId="16" xfId="0" applyFill="1" applyBorder="1" applyAlignment="1">
      <alignment horizontal="center"/>
    </xf>
    <xf numFmtId="0" fontId="0" fillId="34" borderId="0" xfId="0" applyFill="1" applyBorder="1" applyAlignment="1">
      <alignment horizontal="center"/>
    </xf>
    <xf numFmtId="17" fontId="0" fillId="0" borderId="10" xfId="0" applyNumberFormat="1" applyFill="1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17" fontId="0" fillId="0" borderId="15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2" fontId="19" fillId="35" borderId="10" xfId="0" applyNumberFormat="1" applyFon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2" fontId="0" fillId="33" borderId="14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17" fontId="0" fillId="0" borderId="16" xfId="0" applyNumberFormat="1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2" fontId="0" fillId="0" borderId="11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0" borderId="12" xfId="0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2" fontId="0" fillId="0" borderId="16" xfId="0" applyNumberFormat="1" applyFill="1" applyBorder="1" applyAlignment="1">
      <alignment horizontal="center"/>
    </xf>
    <xf numFmtId="0" fontId="0" fillId="37" borderId="0" xfId="0" applyFill="1"/>
    <xf numFmtId="0" fontId="0" fillId="37" borderId="0" xfId="0" applyFill="1" applyAlignment="1">
      <alignment horizontal="center"/>
    </xf>
    <xf numFmtId="0" fontId="0" fillId="37" borderId="0" xfId="0" applyFill="1" applyAlignment="1">
      <alignment horizontal="left"/>
    </xf>
    <xf numFmtId="2" fontId="0" fillId="35" borderId="10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0" fillId="36" borderId="10" xfId="0" applyFill="1" applyBorder="1"/>
    <xf numFmtId="0" fontId="0" fillId="38" borderId="10" xfId="0" applyFill="1" applyBorder="1" applyAlignment="1">
      <alignment horizontal="center"/>
    </xf>
    <xf numFmtId="2" fontId="0" fillId="38" borderId="10" xfId="0" applyNumberFormat="1" applyFill="1" applyBorder="1" applyAlignment="1">
      <alignment horizontal="center"/>
    </xf>
    <xf numFmtId="0" fontId="0" fillId="38" borderId="10" xfId="0" applyFill="1" applyBorder="1"/>
    <xf numFmtId="1" fontId="0" fillId="38" borderId="10" xfId="0" applyNumberFormat="1" applyFill="1" applyBorder="1" applyAlignment="1">
      <alignment horizontal="center"/>
    </xf>
    <xf numFmtId="2" fontId="0" fillId="38" borderId="13" xfId="0" applyNumberFormat="1" applyFill="1" applyBorder="1" applyAlignment="1">
      <alignment horizontal="center"/>
    </xf>
    <xf numFmtId="2" fontId="0" fillId="38" borderId="10" xfId="0" applyNumberFormat="1" applyFill="1" applyBorder="1" applyAlignment="1" applyProtection="1">
      <alignment horizontal="center"/>
    </xf>
    <xf numFmtId="2" fontId="18" fillId="38" borderId="10" xfId="0" applyNumberFormat="1" applyFont="1" applyFill="1" applyBorder="1" applyAlignment="1">
      <alignment horizontal="center"/>
    </xf>
    <xf numFmtId="2" fontId="19" fillId="38" borderId="10" xfId="0" applyNumberFormat="1" applyFont="1" applyFill="1" applyBorder="1" applyAlignment="1">
      <alignment horizontal="center"/>
    </xf>
    <xf numFmtId="2" fontId="0" fillId="38" borderId="10" xfId="0" applyNumberFormat="1" applyFont="1" applyFill="1" applyBorder="1" applyAlignment="1">
      <alignment horizontal="center"/>
    </xf>
    <xf numFmtId="2" fontId="14" fillId="38" borderId="10" xfId="0" applyNumberFormat="1" applyFont="1" applyFill="1" applyBorder="1" applyAlignment="1">
      <alignment horizontal="center"/>
    </xf>
    <xf numFmtId="0" fontId="0" fillId="38" borderId="0" xfId="0" applyFill="1"/>
    <xf numFmtId="0" fontId="0" fillId="38" borderId="0" xfId="0" applyFill="1" applyAlignment="1">
      <alignment horizontal="center"/>
    </xf>
    <xf numFmtId="0" fontId="0" fillId="38" borderId="0" xfId="0" applyFill="1" applyBorder="1"/>
    <xf numFmtId="0" fontId="16" fillId="38" borderId="0" xfId="0" applyFont="1" applyFill="1" applyBorder="1" applyAlignment="1">
      <alignment horizontal="center"/>
    </xf>
    <xf numFmtId="0" fontId="0" fillId="38" borderId="0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17" fontId="0" fillId="38" borderId="20" xfId="0" applyNumberFormat="1" applyFont="1" applyFill="1" applyBorder="1" applyAlignment="1">
      <alignment horizontal="center"/>
    </xf>
    <xf numFmtId="0" fontId="0" fillId="38" borderId="14" xfId="0" applyFont="1" applyFill="1" applyBorder="1" applyAlignment="1">
      <alignment horizontal="center"/>
    </xf>
    <xf numFmtId="17" fontId="0" fillId="38" borderId="21" xfId="0" quotePrefix="1" applyNumberFormat="1" applyFill="1" applyBorder="1" applyAlignment="1">
      <alignment horizontal="center"/>
    </xf>
    <xf numFmtId="17" fontId="0" fillId="38" borderId="15" xfId="0" quotePrefix="1" applyNumberFormat="1" applyFill="1" applyBorder="1" applyAlignment="1">
      <alignment horizontal="center"/>
    </xf>
    <xf numFmtId="17" fontId="0" fillId="38" borderId="15" xfId="0" applyNumberFormat="1" applyFill="1" applyBorder="1" applyAlignment="1">
      <alignment horizontal="center"/>
    </xf>
    <xf numFmtId="17" fontId="0" fillId="38" borderId="14" xfId="0" applyNumberFormat="1" applyFill="1" applyBorder="1" applyAlignment="1">
      <alignment horizontal="center"/>
    </xf>
    <xf numFmtId="0" fontId="0" fillId="38" borderId="18" xfId="0" applyFill="1" applyBorder="1" applyAlignment="1">
      <alignment horizontal="center"/>
    </xf>
    <xf numFmtId="17" fontId="0" fillId="38" borderId="13" xfId="0" applyNumberFormat="1" applyFill="1" applyBorder="1" applyAlignment="1">
      <alignment horizontal="center"/>
    </xf>
    <xf numFmtId="17" fontId="0" fillId="38" borderId="10" xfId="0" applyNumberFormat="1" applyFill="1" applyBorder="1" applyAlignment="1">
      <alignment horizontal="center"/>
    </xf>
    <xf numFmtId="0" fontId="0" fillId="38" borderId="10" xfId="0" applyFill="1" applyBorder="1" applyAlignment="1">
      <alignment horizontal="left"/>
    </xf>
    <xf numFmtId="2" fontId="0" fillId="38" borderId="11" xfId="0" applyNumberFormat="1" applyFill="1" applyBorder="1" applyAlignment="1">
      <alignment horizontal="center"/>
    </xf>
    <xf numFmtId="0" fontId="0" fillId="38" borderId="16" xfId="0" applyFill="1" applyBorder="1" applyAlignment="1">
      <alignment horizontal="center"/>
    </xf>
    <xf numFmtId="0" fontId="0" fillId="35" borderId="10" xfId="0" applyFill="1" applyBorder="1"/>
    <xf numFmtId="0" fontId="0" fillId="35" borderId="10" xfId="0" applyFill="1" applyBorder="1" applyAlignment="1">
      <alignment horizontal="left"/>
    </xf>
    <xf numFmtId="0" fontId="0" fillId="38" borderId="0" xfId="0" applyFill="1" applyAlignment="1">
      <alignment horizontal="left"/>
    </xf>
    <xf numFmtId="0" fontId="18" fillId="38" borderId="0" xfId="0" applyFont="1" applyFill="1" applyAlignment="1">
      <alignment horizontal="center"/>
    </xf>
    <xf numFmtId="164" fontId="0" fillId="38" borderId="0" xfId="0" applyNumberForma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0" fontId="20" fillId="38" borderId="0" xfId="0" applyFont="1" applyFill="1" applyAlignment="1">
      <alignment horizontal="center"/>
    </xf>
    <xf numFmtId="0" fontId="0" fillId="38" borderId="0" xfId="0" applyFill="1" applyBorder="1" applyAlignment="1">
      <alignment horizontal="center"/>
    </xf>
    <xf numFmtId="0" fontId="0" fillId="38" borderId="19" xfId="0" applyFont="1" applyFill="1" applyBorder="1" applyAlignment="1">
      <alignment horizontal="center"/>
    </xf>
    <xf numFmtId="0" fontId="0" fillId="38" borderId="17" xfId="0" applyFont="1" applyFill="1" applyBorder="1" applyAlignment="1">
      <alignment horizontal="center"/>
    </xf>
    <xf numFmtId="0" fontId="16" fillId="38" borderId="11" xfId="0" applyFont="1" applyFill="1" applyBorder="1" applyAlignment="1">
      <alignment horizontal="center"/>
    </xf>
    <xf numFmtId="0" fontId="16" fillId="38" borderId="12" xfId="0" applyFont="1" applyFill="1" applyBorder="1" applyAlignment="1">
      <alignment horizontal="center"/>
    </xf>
    <xf numFmtId="0" fontId="16" fillId="38" borderId="16" xfId="0" applyFont="1" applyFill="1" applyBorder="1" applyAlignment="1">
      <alignment horizontal="center"/>
    </xf>
    <xf numFmtId="0" fontId="0" fillId="38" borderId="11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0" fillId="38" borderId="10" xfId="0" applyFill="1" applyBorder="1" applyAlignment="1">
      <alignment horizontal="center" wrapText="1"/>
    </xf>
    <xf numFmtId="0" fontId="0" fillId="38" borderId="16" xfId="0" applyFill="1" applyBorder="1" applyAlignment="1">
      <alignment horizontal="center"/>
    </xf>
    <xf numFmtId="0" fontId="0" fillId="38" borderId="18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0" fontId="0" fillId="38" borderId="23" xfId="0" applyFill="1" applyBorder="1" applyAlignment="1">
      <alignment horizontal="center"/>
    </xf>
    <xf numFmtId="2" fontId="0" fillId="35" borderId="11" xfId="0" applyNumberFormat="1" applyFill="1" applyBorder="1" applyAlignment="1">
      <alignment horizontal="center"/>
    </xf>
    <xf numFmtId="2" fontId="0" fillId="35" borderId="12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9"/>
  <sheetViews>
    <sheetView tabSelected="1" showWhiteSpace="0" zoomScale="90" zoomScaleNormal="90" workbookViewId="0">
      <pane xSplit="5" ySplit="5" topLeftCell="F54" activePane="bottomRight" state="frozen"/>
      <selection pane="topRight" activeCell="F1" sqref="F1"/>
      <selection pane="bottomLeft" activeCell="A6" sqref="A6"/>
      <selection pane="bottomRight" activeCell="K55" sqref="K55"/>
    </sheetView>
  </sheetViews>
  <sheetFormatPr defaultRowHeight="14.4" x14ac:dyDescent="0.3"/>
  <cols>
    <col min="1" max="1" width="9.109375" style="2"/>
    <col min="2" max="2" width="15.88671875" customWidth="1"/>
    <col min="3" max="3" width="15.6640625" customWidth="1"/>
    <col min="4" max="4" width="12.109375" customWidth="1"/>
    <col min="5" max="5" width="25" style="1" customWidth="1"/>
    <col min="6" max="6" width="12" style="1" hidden="1" customWidth="1"/>
    <col min="7" max="7" width="15" style="1" hidden="1" customWidth="1"/>
    <col min="8" max="8" width="10.109375" style="1" hidden="1" customWidth="1"/>
    <col min="9" max="10" width="14.6640625" style="1" hidden="1" customWidth="1"/>
    <col min="11" max="16" width="10.6640625" customWidth="1"/>
    <col min="17" max="17" width="10.6640625" style="9" customWidth="1"/>
    <col min="18" max="18" width="10.6640625" style="34" customWidth="1"/>
    <col min="19" max="19" width="10.6640625" style="29" customWidth="1"/>
    <col min="20" max="26" width="10.6640625" style="35" customWidth="1"/>
    <col min="27" max="31" width="10.6640625" style="50" customWidth="1"/>
    <col min="32" max="34" width="10.6640625" customWidth="1"/>
    <col min="35" max="37" width="10.6640625" style="35" customWidth="1"/>
    <col min="38" max="38" width="10.6640625" style="8" customWidth="1"/>
    <col min="39" max="42" width="10.6640625" style="35" customWidth="1"/>
    <col min="43" max="43" width="10.6640625" style="30" customWidth="1"/>
    <col min="44" max="44" width="10.6640625" customWidth="1"/>
    <col min="45" max="45" width="10.6640625" style="29" customWidth="1"/>
    <col min="46" max="46" width="10.6640625" style="35" customWidth="1"/>
    <col min="47" max="47" width="10.6640625" style="30" customWidth="1"/>
    <col min="48" max="52" width="10.6640625" style="35" customWidth="1"/>
  </cols>
  <sheetData>
    <row r="1" spans="1:52" s="13" customFormat="1" ht="18" x14ac:dyDescent="0.35">
      <c r="A1" s="130" t="s">
        <v>91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T1" s="35"/>
      <c r="AU1" s="30"/>
      <c r="AV1" s="35"/>
      <c r="AW1" s="35"/>
      <c r="AX1" s="35"/>
      <c r="AY1" s="35"/>
      <c r="AZ1" s="35"/>
    </row>
    <row r="2" spans="1:52" s="13" customFormat="1" ht="18" x14ac:dyDescent="0.35">
      <c r="A2" s="130" t="s">
        <v>81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T2" s="35"/>
      <c r="AU2" s="30"/>
      <c r="AV2" s="35"/>
      <c r="AW2" s="35"/>
      <c r="AX2" s="35"/>
      <c r="AY2" s="35"/>
      <c r="AZ2" s="35"/>
    </row>
    <row r="3" spans="1:52" s="13" customFormat="1" x14ac:dyDescent="0.3">
      <c r="A3" s="14"/>
      <c r="B3" s="131" t="s">
        <v>123</v>
      </c>
      <c r="C3" s="132"/>
      <c r="D3" s="133"/>
      <c r="E3" s="15"/>
      <c r="F3" s="139" t="s">
        <v>124</v>
      </c>
      <c r="G3" s="139" t="s">
        <v>125</v>
      </c>
      <c r="H3" s="139" t="s">
        <v>126</v>
      </c>
      <c r="I3" s="139" t="s">
        <v>127</v>
      </c>
      <c r="J3" s="139" t="s">
        <v>133</v>
      </c>
      <c r="K3" s="134"/>
      <c r="L3" s="134"/>
      <c r="M3" s="134"/>
      <c r="N3" s="134"/>
      <c r="O3" s="134"/>
      <c r="P3" s="134"/>
      <c r="Q3" s="134"/>
      <c r="R3" s="33"/>
      <c r="S3" s="27"/>
      <c r="T3" s="43"/>
      <c r="U3" s="46"/>
      <c r="V3" s="47"/>
      <c r="W3" s="57"/>
      <c r="X3" s="59"/>
      <c r="Y3" s="60"/>
      <c r="Z3" s="62"/>
      <c r="AA3" s="78"/>
      <c r="AB3" s="78"/>
      <c r="AC3" s="67"/>
      <c r="AD3" s="67"/>
      <c r="AE3" s="67"/>
      <c r="AF3" s="136" t="s">
        <v>86</v>
      </c>
      <c r="AG3" s="137"/>
      <c r="AH3" s="137"/>
      <c r="AI3" s="137"/>
      <c r="AJ3" s="137"/>
      <c r="AK3" s="137"/>
      <c r="AL3" s="137"/>
      <c r="AM3" s="137"/>
      <c r="AN3" s="137"/>
      <c r="AO3" s="88"/>
      <c r="AP3" s="69"/>
      <c r="AQ3" s="136" t="s">
        <v>92</v>
      </c>
      <c r="AR3" s="137"/>
      <c r="AS3" s="137"/>
      <c r="AT3" s="137"/>
      <c r="AU3" s="137"/>
      <c r="AV3" s="137"/>
      <c r="AW3" s="137"/>
      <c r="AX3" s="137"/>
      <c r="AY3" s="137"/>
      <c r="AZ3" s="138"/>
    </row>
    <row r="4" spans="1:52" s="13" customFormat="1" ht="33.9" customHeight="1" x14ac:dyDescent="0.3">
      <c r="A4" s="26"/>
      <c r="B4" s="135" t="s">
        <v>84</v>
      </c>
      <c r="C4" s="135"/>
      <c r="D4" s="63" t="s">
        <v>83</v>
      </c>
      <c r="E4" s="48"/>
      <c r="F4" s="139"/>
      <c r="G4" s="139"/>
      <c r="H4" s="139"/>
      <c r="I4" s="139"/>
      <c r="J4" s="139"/>
      <c r="K4" s="140" t="s">
        <v>85</v>
      </c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41"/>
      <c r="AF4" s="32">
        <v>40878</v>
      </c>
      <c r="AG4" s="23">
        <v>41244</v>
      </c>
      <c r="AH4" s="24">
        <v>41609</v>
      </c>
      <c r="AI4" s="41">
        <v>41974</v>
      </c>
      <c r="AJ4" s="41">
        <v>42339</v>
      </c>
      <c r="AK4" s="41">
        <v>42705</v>
      </c>
      <c r="AL4" s="41">
        <v>43070</v>
      </c>
      <c r="AM4" s="41">
        <v>43435</v>
      </c>
      <c r="AN4" s="71">
        <v>43800</v>
      </c>
      <c r="AO4" s="71">
        <v>44166</v>
      </c>
      <c r="AP4" s="71">
        <v>40878</v>
      </c>
      <c r="AQ4" s="41">
        <v>41091</v>
      </c>
      <c r="AR4" s="41">
        <v>41456</v>
      </c>
      <c r="AS4" s="41">
        <v>41821</v>
      </c>
      <c r="AT4" s="41">
        <v>42186</v>
      </c>
      <c r="AU4" s="41">
        <v>42552</v>
      </c>
      <c r="AV4" s="55">
        <v>42917</v>
      </c>
      <c r="AW4" s="55">
        <v>43282</v>
      </c>
      <c r="AX4" s="55">
        <v>43647</v>
      </c>
      <c r="AY4" s="56">
        <v>44378</v>
      </c>
      <c r="AZ4" s="41">
        <v>41091</v>
      </c>
    </row>
    <row r="5" spans="1:52" s="13" customFormat="1" x14ac:dyDescent="0.3">
      <c r="A5" s="3" t="s">
        <v>54</v>
      </c>
      <c r="B5" s="3" t="s">
        <v>55</v>
      </c>
      <c r="C5" s="3" t="s">
        <v>56</v>
      </c>
      <c r="D5" s="3" t="s">
        <v>57</v>
      </c>
      <c r="E5" s="77" t="s">
        <v>58</v>
      </c>
      <c r="F5" s="139"/>
      <c r="G5" s="139"/>
      <c r="H5" s="139"/>
      <c r="I5" s="139"/>
      <c r="J5" s="139"/>
      <c r="K5" s="80">
        <v>40878</v>
      </c>
      <c r="L5" s="79">
        <v>41091</v>
      </c>
      <c r="M5" s="68">
        <v>41244</v>
      </c>
      <c r="N5" s="79">
        <v>41456</v>
      </c>
      <c r="O5" s="68">
        <v>41609</v>
      </c>
      <c r="P5" s="79">
        <v>41821</v>
      </c>
      <c r="Q5" s="68">
        <v>41974</v>
      </c>
      <c r="R5" s="79">
        <v>42186</v>
      </c>
      <c r="S5" s="68">
        <v>42339</v>
      </c>
      <c r="T5" s="79">
        <v>42567</v>
      </c>
      <c r="U5" s="68">
        <v>42716</v>
      </c>
      <c r="V5" s="79">
        <v>42917</v>
      </c>
      <c r="W5" s="68">
        <v>43070</v>
      </c>
      <c r="X5" s="79">
        <v>43282</v>
      </c>
      <c r="Y5" s="68">
        <v>43435</v>
      </c>
      <c r="Z5" s="79">
        <v>43647</v>
      </c>
      <c r="AA5" s="68">
        <v>43800</v>
      </c>
      <c r="AB5" s="68">
        <v>44166</v>
      </c>
      <c r="AC5" s="68">
        <v>44398</v>
      </c>
      <c r="AD5" s="68">
        <v>44531</v>
      </c>
      <c r="AE5" s="68">
        <v>44764</v>
      </c>
      <c r="AF5" s="16">
        <v>41244</v>
      </c>
      <c r="AG5" s="16">
        <v>41609</v>
      </c>
      <c r="AH5" s="16">
        <v>41974</v>
      </c>
      <c r="AI5" s="36">
        <v>42339</v>
      </c>
      <c r="AJ5" s="36">
        <v>42705</v>
      </c>
      <c r="AK5" s="36">
        <v>43070</v>
      </c>
      <c r="AL5" s="36">
        <v>43435</v>
      </c>
      <c r="AM5" s="36">
        <v>43800</v>
      </c>
      <c r="AN5" s="36">
        <v>44166</v>
      </c>
      <c r="AO5" s="36">
        <v>44531</v>
      </c>
      <c r="AP5" s="36">
        <v>44531</v>
      </c>
      <c r="AQ5" s="36">
        <v>41456</v>
      </c>
      <c r="AR5" s="36">
        <v>41821</v>
      </c>
      <c r="AS5" s="36">
        <v>42186</v>
      </c>
      <c r="AT5" s="36">
        <v>42552</v>
      </c>
      <c r="AU5" s="36">
        <v>42917</v>
      </c>
      <c r="AV5" s="56">
        <v>43282</v>
      </c>
      <c r="AW5" s="56">
        <v>43647</v>
      </c>
      <c r="AX5" s="56">
        <v>44378</v>
      </c>
      <c r="AY5" s="56">
        <v>44743</v>
      </c>
      <c r="AZ5" s="36">
        <v>44743</v>
      </c>
    </row>
    <row r="6" spans="1:52" x14ac:dyDescent="0.3">
      <c r="A6" s="3">
        <v>29</v>
      </c>
      <c r="B6" s="37">
        <v>2255715.2230000002</v>
      </c>
      <c r="C6" s="37">
        <v>6232765.284</v>
      </c>
      <c r="D6" s="37">
        <v>276.62200000000001</v>
      </c>
      <c r="E6" s="161" t="s">
        <v>0</v>
      </c>
      <c r="F6" s="81">
        <v>2012</v>
      </c>
      <c r="G6" s="37">
        <v>279.202</v>
      </c>
      <c r="H6" s="81">
        <v>2012</v>
      </c>
      <c r="I6" s="37">
        <v>279.24700000000001</v>
      </c>
      <c r="J6" s="81">
        <v>2022</v>
      </c>
      <c r="K6" s="58"/>
      <c r="L6" s="17">
        <v>279.24700000000001</v>
      </c>
      <c r="M6" s="17">
        <v>279.202</v>
      </c>
      <c r="N6" s="17">
        <v>279.08300000000003</v>
      </c>
      <c r="O6" s="17">
        <v>278.93</v>
      </c>
      <c r="P6" s="17">
        <v>278.678</v>
      </c>
      <c r="Q6" s="17">
        <v>278.56099999999998</v>
      </c>
      <c r="R6" s="37">
        <v>278.28399999999999</v>
      </c>
      <c r="S6" s="17">
        <v>278.149</v>
      </c>
      <c r="T6" s="37">
        <v>278.03300000000002</v>
      </c>
      <c r="U6" s="37">
        <v>277.88</v>
      </c>
      <c r="V6" s="37">
        <v>277.726</v>
      </c>
      <c r="W6" s="37">
        <v>277.64</v>
      </c>
      <c r="X6" s="37">
        <v>277.61799999999999</v>
      </c>
      <c r="Y6" s="37">
        <v>277.36599999999999</v>
      </c>
      <c r="Z6" s="37">
        <v>277.291</v>
      </c>
      <c r="AA6" s="45">
        <v>277.19099999999997</v>
      </c>
      <c r="AB6" s="45">
        <v>276.95100000000002</v>
      </c>
      <c r="AC6" s="45">
        <v>276.83300000000003</v>
      </c>
      <c r="AD6" s="65">
        <v>276.62200000000001</v>
      </c>
      <c r="AE6" s="65">
        <v>276.58800000000002</v>
      </c>
      <c r="AF6" s="22"/>
      <c r="AG6" s="17">
        <f>O6-M6</f>
        <v>-0.27199999999999136</v>
      </c>
      <c r="AH6" s="19">
        <f>Q6-O6</f>
        <v>-0.36900000000002819</v>
      </c>
      <c r="AI6" s="39">
        <f>S6-Q6</f>
        <v>-0.41199999999997772</v>
      </c>
      <c r="AJ6" s="39">
        <f>U6-S6</f>
        <v>-0.26900000000000546</v>
      </c>
      <c r="AK6" s="39">
        <f>W6-U6</f>
        <v>-0.24000000000000909</v>
      </c>
      <c r="AL6" s="39">
        <f t="shared" ref="AL6:AL24" si="0">Y6-W6</f>
        <v>-0.27400000000000091</v>
      </c>
      <c r="AM6" s="39">
        <f>AA6-Y6</f>
        <v>-0.17500000000001137</v>
      </c>
      <c r="AN6" s="51">
        <f>AB6-AA6</f>
        <v>-0.23999999999995225</v>
      </c>
      <c r="AO6" s="51">
        <f>AD6-AB6</f>
        <v>-0.32900000000000773</v>
      </c>
      <c r="AP6" s="53">
        <f t="shared" ref="AP6:AP17" si="1">(AD6-G6)/(J6-F6)</f>
        <v>-0.2579999999999984</v>
      </c>
      <c r="AQ6" s="31">
        <f>N6-L6</f>
        <v>-0.16399999999998727</v>
      </c>
      <c r="AR6" s="19">
        <f>P6-N6</f>
        <v>-0.40500000000002956</v>
      </c>
      <c r="AS6" s="19">
        <f>R6-P6</f>
        <v>-0.39400000000000546</v>
      </c>
      <c r="AT6" s="39">
        <f>T6-R6</f>
        <v>-0.25099999999997635</v>
      </c>
      <c r="AU6" s="39">
        <f>V6-T6</f>
        <v>-0.30700000000001637</v>
      </c>
      <c r="AV6" s="39">
        <f>X6-V6</f>
        <v>-0.10800000000000409</v>
      </c>
      <c r="AW6" s="39">
        <f t="shared" ref="AW6:AW24" si="2">Z6-X6</f>
        <v>-0.32699999999999818</v>
      </c>
      <c r="AX6" s="39">
        <f t="shared" ref="AX6:AX17" si="3">(AC6-Z6)/2</f>
        <v>-0.22899999999998499</v>
      </c>
      <c r="AY6" s="39">
        <f>AE6-AC6</f>
        <v>-0.24500000000000455</v>
      </c>
      <c r="AZ6" s="39">
        <f>(AE6-$I6)/(2022-$H6)</f>
        <v>-0.26589999999999919</v>
      </c>
    </row>
    <row r="7" spans="1:52" x14ac:dyDescent="0.3">
      <c r="A7" s="3">
        <v>62</v>
      </c>
      <c r="B7" s="37">
        <v>2138252.5240000002</v>
      </c>
      <c r="C7" s="37">
        <v>6339532.9890000001</v>
      </c>
      <c r="D7" s="37">
        <v>288.69</v>
      </c>
      <c r="E7" s="161" t="s">
        <v>1</v>
      </c>
      <c r="F7" s="81">
        <v>2012</v>
      </c>
      <c r="G7" s="40">
        <v>288.87</v>
      </c>
      <c r="H7" s="81">
        <v>2012</v>
      </c>
      <c r="I7" s="37">
        <v>288.84800000000001</v>
      </c>
      <c r="J7" s="81">
        <v>2022</v>
      </c>
      <c r="K7" s="58"/>
      <c r="L7" s="17">
        <v>288.84800000000001</v>
      </c>
      <c r="M7" s="17">
        <v>288.87</v>
      </c>
      <c r="N7" s="17">
        <v>288.767</v>
      </c>
      <c r="O7" s="17">
        <v>288.81</v>
      </c>
      <c r="P7" s="17">
        <v>288.822</v>
      </c>
      <c r="Q7" s="17">
        <v>288.79399999999998</v>
      </c>
      <c r="R7" s="37">
        <v>288.755</v>
      </c>
      <c r="S7" s="17">
        <v>288.81700000000001</v>
      </c>
      <c r="T7" s="37">
        <v>288.68200000000002</v>
      </c>
      <c r="U7" s="37">
        <v>288.721</v>
      </c>
      <c r="V7" s="37">
        <v>288.69499999999999</v>
      </c>
      <c r="W7" s="37">
        <v>288.74</v>
      </c>
      <c r="X7" s="37">
        <v>288.81099999999998</v>
      </c>
      <c r="Y7" s="37">
        <v>288.76100000000002</v>
      </c>
      <c r="Z7" s="37">
        <v>288.78199999999998</v>
      </c>
      <c r="AA7" s="45">
        <v>288.73099999999999</v>
      </c>
      <c r="AB7" s="45">
        <v>288.74299999999999</v>
      </c>
      <c r="AC7" s="45">
        <v>288.90300000000002</v>
      </c>
      <c r="AD7" s="65">
        <v>288.69</v>
      </c>
      <c r="AE7" s="65">
        <v>288.81099999999998</v>
      </c>
      <c r="AF7" s="22"/>
      <c r="AG7" s="17">
        <f>O7-M7</f>
        <v>-6.0000000000002274E-2</v>
      </c>
      <c r="AH7" s="19">
        <f>Q7-O7</f>
        <v>-1.6000000000019554E-2</v>
      </c>
      <c r="AI7" s="39">
        <f>S7-Q7</f>
        <v>2.3000000000024556E-2</v>
      </c>
      <c r="AJ7" s="39">
        <f>U7-S7</f>
        <v>-9.6000000000003638E-2</v>
      </c>
      <c r="AK7" s="39">
        <f>W7-U7</f>
        <v>1.9000000000005457E-2</v>
      </c>
      <c r="AL7" s="39">
        <f t="shared" si="0"/>
        <v>2.1000000000015007E-2</v>
      </c>
      <c r="AM7" s="39">
        <f>AA7-Y7</f>
        <v>-3.0000000000029559E-2</v>
      </c>
      <c r="AN7" s="51">
        <f>AB7-AA7</f>
        <v>1.2000000000000455E-2</v>
      </c>
      <c r="AO7" s="51">
        <f t="shared" ref="AO7:AO17" si="4">AD7-AB7</f>
        <v>-5.2999999999997272E-2</v>
      </c>
      <c r="AP7" s="53">
        <f t="shared" si="1"/>
        <v>-1.8000000000000682E-2</v>
      </c>
      <c r="AQ7" s="31">
        <f>N7-L7</f>
        <v>-8.100000000001728E-2</v>
      </c>
      <c r="AR7" s="19">
        <f>P7-N7</f>
        <v>5.5000000000006821E-2</v>
      </c>
      <c r="AS7" s="39">
        <f>R7-P7</f>
        <v>-6.7000000000007276E-2</v>
      </c>
      <c r="AT7" s="39">
        <f>T7-R7</f>
        <v>-7.2999999999979082E-2</v>
      </c>
      <c r="AU7" s="39">
        <f>V7-T7</f>
        <v>1.2999999999976808E-2</v>
      </c>
      <c r="AV7" s="39">
        <f>X7-V7</f>
        <v>0.11599999999998545</v>
      </c>
      <c r="AW7" s="39">
        <f t="shared" si="2"/>
        <v>-2.8999999999996362E-2</v>
      </c>
      <c r="AX7" s="39">
        <f t="shared" si="3"/>
        <v>6.0500000000018872E-2</v>
      </c>
      <c r="AY7" s="39">
        <f t="shared" ref="AY7:AY17" si="5">AE7-AC7</f>
        <v>-9.2000000000041382E-2</v>
      </c>
      <c r="AZ7" s="39">
        <f t="shared" ref="AZ7:AZ17" si="6">(AE7-$I7)/(2022-$H7)</f>
        <v>-3.7000000000034562E-3</v>
      </c>
    </row>
    <row r="8" spans="1:52" x14ac:dyDescent="0.3">
      <c r="A8" s="3">
        <v>63</v>
      </c>
      <c r="B8" s="37">
        <v>2068328.3940000001</v>
      </c>
      <c r="C8" s="37">
        <v>6163767.9330000002</v>
      </c>
      <c r="D8" s="37">
        <v>328.13799999999998</v>
      </c>
      <c r="E8" s="161" t="s">
        <v>48</v>
      </c>
      <c r="F8" s="81">
        <v>2012</v>
      </c>
      <c r="G8" s="40">
        <v>329.988</v>
      </c>
      <c r="H8" s="81">
        <v>2012</v>
      </c>
      <c r="I8" s="37">
        <v>329.95100000000002</v>
      </c>
      <c r="J8" s="81">
        <v>2022</v>
      </c>
      <c r="K8" s="58"/>
      <c r="L8" s="17">
        <v>329.95100000000002</v>
      </c>
      <c r="M8" s="17">
        <v>329.988</v>
      </c>
      <c r="N8" s="17">
        <v>329.66800000000001</v>
      </c>
      <c r="O8" s="17">
        <v>329.51</v>
      </c>
      <c r="P8" s="17">
        <v>329.01900000000001</v>
      </c>
      <c r="Q8" s="17">
        <v>329.05599999999998</v>
      </c>
      <c r="R8" s="37">
        <v>328.76400000000001</v>
      </c>
      <c r="S8" s="17">
        <v>328.80399999999997</v>
      </c>
      <c r="T8" s="37">
        <v>328.45699999999999</v>
      </c>
      <c r="U8" s="37">
        <v>328.625</v>
      </c>
      <c r="V8" s="37">
        <v>328.70800000000003</v>
      </c>
      <c r="W8" s="37">
        <v>328.99</v>
      </c>
      <c r="X8" s="37">
        <v>328.89699999999999</v>
      </c>
      <c r="Y8" s="37">
        <v>328.846</v>
      </c>
      <c r="Z8" s="37">
        <v>328.846</v>
      </c>
      <c r="AA8" s="45">
        <v>328.83</v>
      </c>
      <c r="AB8" s="45">
        <v>328.48500000000001</v>
      </c>
      <c r="AC8" s="45">
        <v>328.16399999999999</v>
      </c>
      <c r="AD8" s="65">
        <v>328.13799999999998</v>
      </c>
      <c r="AE8" s="65">
        <v>327.82499999999999</v>
      </c>
      <c r="AF8" s="22"/>
      <c r="AG8" s="17">
        <f>O8-M8</f>
        <v>-0.47800000000000864</v>
      </c>
      <c r="AH8" s="19">
        <f>Q8-O8</f>
        <v>-0.45400000000000773</v>
      </c>
      <c r="AI8" s="39">
        <f>S8-Q8</f>
        <v>-0.25200000000000955</v>
      </c>
      <c r="AJ8" s="39">
        <f>U8-S8</f>
        <v>-0.17899999999997362</v>
      </c>
      <c r="AK8" s="39">
        <f>W8-U8</f>
        <v>0.36500000000000909</v>
      </c>
      <c r="AL8" s="39">
        <f t="shared" si="0"/>
        <v>-0.14400000000000546</v>
      </c>
      <c r="AM8" s="39">
        <f>AA8-Y8</f>
        <v>-1.6000000000019554E-2</v>
      </c>
      <c r="AN8" s="51">
        <f>AB8-AA8</f>
        <v>-0.34499999999997044</v>
      </c>
      <c r="AO8" s="51">
        <f t="shared" si="4"/>
        <v>-0.34700000000003683</v>
      </c>
      <c r="AP8" s="53">
        <f t="shared" si="1"/>
        <v>-0.18500000000000227</v>
      </c>
      <c r="AQ8" s="31">
        <f>N8-L8</f>
        <v>-0.28300000000001546</v>
      </c>
      <c r="AR8" s="19">
        <f>P8-N8</f>
        <v>-0.64900000000000091</v>
      </c>
      <c r="AS8" s="39">
        <f>R8-P8</f>
        <v>-0.25499999999999545</v>
      </c>
      <c r="AT8" s="39">
        <f>T8-R8</f>
        <v>-0.30700000000001637</v>
      </c>
      <c r="AU8" s="39">
        <f>V8-T8</f>
        <v>0.2510000000000332</v>
      </c>
      <c r="AV8" s="39">
        <f>X8-V8</f>
        <v>0.18899999999996453</v>
      </c>
      <c r="AW8" s="39">
        <f t="shared" si="2"/>
        <v>-5.0999999999987722E-2</v>
      </c>
      <c r="AX8" s="39">
        <f t="shared" si="3"/>
        <v>-0.34100000000000819</v>
      </c>
      <c r="AY8" s="39">
        <f t="shared" si="5"/>
        <v>-0.33899999999999864</v>
      </c>
      <c r="AZ8" s="39">
        <f t="shared" si="6"/>
        <v>-0.21260000000000331</v>
      </c>
    </row>
    <row r="9" spans="1:52" s="50" customFormat="1" x14ac:dyDescent="0.3">
      <c r="A9" s="28">
        <v>101</v>
      </c>
      <c r="B9" s="40">
        <v>2213141.1540000001</v>
      </c>
      <c r="C9" s="40">
        <v>6133281.3650000002</v>
      </c>
      <c r="D9" s="74">
        <v>139.79300000000001</v>
      </c>
      <c r="E9" s="161" t="s">
        <v>60</v>
      </c>
      <c r="F9" s="81">
        <v>2011</v>
      </c>
      <c r="G9" s="40">
        <v>141.79900000000001</v>
      </c>
      <c r="H9" s="81">
        <v>2012</v>
      </c>
      <c r="I9" s="40">
        <v>141.661</v>
      </c>
      <c r="J9" s="81">
        <v>2022</v>
      </c>
      <c r="K9" s="65">
        <v>141.79900000000001</v>
      </c>
      <c r="L9" s="45">
        <v>141.661</v>
      </c>
      <c r="M9" s="45">
        <v>141.72399999999999</v>
      </c>
      <c r="N9" s="45">
        <v>141.54499999999999</v>
      </c>
      <c r="O9" s="45">
        <v>141.47999999999999</v>
      </c>
      <c r="P9" s="45">
        <v>141.33199999999999</v>
      </c>
      <c r="Q9" s="45">
        <v>141.30500000000001</v>
      </c>
      <c r="R9" s="45">
        <v>141.07</v>
      </c>
      <c r="S9" s="45">
        <v>140.96</v>
      </c>
      <c r="T9" s="45">
        <v>140.85599999999999</v>
      </c>
      <c r="U9" s="45"/>
      <c r="V9" s="37">
        <v>140.51499999999999</v>
      </c>
      <c r="W9" s="37">
        <v>140.54</v>
      </c>
      <c r="X9" s="37">
        <v>140.49100000000001</v>
      </c>
      <c r="Y9" s="37">
        <v>140.36500000000001</v>
      </c>
      <c r="Z9" s="37">
        <v>140.26599999999999</v>
      </c>
      <c r="AA9" s="45"/>
      <c r="AB9" s="45">
        <v>140.01900000000001</v>
      </c>
      <c r="AC9" s="45">
        <v>139.864</v>
      </c>
      <c r="AD9" s="65">
        <v>139.79300000000001</v>
      </c>
      <c r="AE9" s="65">
        <v>139.66900000000001</v>
      </c>
      <c r="AF9" s="65">
        <f>M9-K9</f>
        <v>-7.5000000000017053E-2</v>
      </c>
      <c r="AG9" s="45">
        <f>O9-M9</f>
        <v>-0.24399999999999977</v>
      </c>
      <c r="AH9" s="51">
        <f>Q9-O9</f>
        <v>-0.17499999999998295</v>
      </c>
      <c r="AI9" s="51">
        <f>S9-Q9</f>
        <v>-0.34499999999999886</v>
      </c>
      <c r="AJ9" s="51"/>
      <c r="AK9" s="39" t="s">
        <v>99</v>
      </c>
      <c r="AL9" s="39">
        <f t="shared" si="0"/>
        <v>-0.17499999999998295</v>
      </c>
      <c r="AM9" s="39"/>
      <c r="AN9" s="51"/>
      <c r="AO9" s="51">
        <f t="shared" si="4"/>
        <v>-0.22599999999999909</v>
      </c>
      <c r="AP9" s="51">
        <f t="shared" si="1"/>
        <v>-0.18236363636363639</v>
      </c>
      <c r="AQ9" s="52">
        <f>N9-L9</f>
        <v>-0.11600000000001387</v>
      </c>
      <c r="AR9" s="51">
        <f>P9-N9</f>
        <v>-0.21299999999999386</v>
      </c>
      <c r="AS9" s="51">
        <f>R9-P9</f>
        <v>-0.26200000000000045</v>
      </c>
      <c r="AT9" s="51">
        <f>T9-R9</f>
        <v>-0.21399999999999864</v>
      </c>
      <c r="AU9" s="39">
        <f>V9-T9</f>
        <v>-0.34100000000000819</v>
      </c>
      <c r="AV9" s="39">
        <f>X9-V9</f>
        <v>-2.3999999999972488E-2</v>
      </c>
      <c r="AW9" s="39">
        <f t="shared" si="2"/>
        <v>-0.22500000000002274</v>
      </c>
      <c r="AX9" s="39">
        <f t="shared" si="3"/>
        <v>-0.20099999999999341</v>
      </c>
      <c r="AY9" s="39">
        <f t="shared" si="5"/>
        <v>-0.19499999999999318</v>
      </c>
      <c r="AZ9" s="39">
        <f t="shared" si="6"/>
        <v>-0.19919999999999902</v>
      </c>
    </row>
    <row r="10" spans="1:52" s="50" customFormat="1" x14ac:dyDescent="0.3">
      <c r="A10" s="28">
        <v>104</v>
      </c>
      <c r="B10" s="40">
        <v>2167435.892</v>
      </c>
      <c r="C10" s="40">
        <v>6185519.8720000004</v>
      </c>
      <c r="D10" s="74">
        <v>179.02799999999999</v>
      </c>
      <c r="E10" s="161" t="s">
        <v>114</v>
      </c>
      <c r="F10" s="81">
        <v>2011</v>
      </c>
      <c r="G10" s="40">
        <v>180.58600000000001</v>
      </c>
      <c r="H10" s="81">
        <v>2017</v>
      </c>
      <c r="I10" s="37">
        <v>179.50399999999999</v>
      </c>
      <c r="J10" s="81">
        <v>2022</v>
      </c>
      <c r="K10" s="65">
        <v>180.58600000000001</v>
      </c>
      <c r="L10" s="44"/>
      <c r="M10" s="44"/>
      <c r="N10" s="44"/>
      <c r="O10" s="44"/>
      <c r="P10" s="44"/>
      <c r="Q10" s="44"/>
      <c r="R10" s="44"/>
      <c r="S10" s="44"/>
      <c r="T10" s="44"/>
      <c r="U10" s="45"/>
      <c r="V10" s="37">
        <v>179.50399999999999</v>
      </c>
      <c r="W10" s="37">
        <v>179.59</v>
      </c>
      <c r="X10" s="37">
        <v>179.50399999999999</v>
      </c>
      <c r="Y10" s="37">
        <v>179.471</v>
      </c>
      <c r="Z10" s="37">
        <v>179.31800000000001</v>
      </c>
      <c r="AA10" s="45">
        <v>179.32400000000001</v>
      </c>
      <c r="AB10" s="45">
        <v>179.328</v>
      </c>
      <c r="AC10" s="45">
        <v>179.13200000000001</v>
      </c>
      <c r="AD10" s="65">
        <v>179.02799999999999</v>
      </c>
      <c r="AE10" s="65">
        <v>178.93100000000001</v>
      </c>
      <c r="AF10" s="66"/>
      <c r="AG10" s="44"/>
      <c r="AH10" s="44"/>
      <c r="AI10" s="44"/>
      <c r="AJ10" s="44"/>
      <c r="AK10" s="39" t="s">
        <v>99</v>
      </c>
      <c r="AL10" s="39">
        <f t="shared" si="0"/>
        <v>-0.11899999999999977</v>
      </c>
      <c r="AM10" s="39">
        <f t="shared" ref="AM10:AM17" si="7">AA10-Y10</f>
        <v>-0.14699999999999136</v>
      </c>
      <c r="AN10" s="51">
        <f t="shared" ref="AN10:AN17" si="8">AB10-AA10</f>
        <v>3.9999999999906777E-3</v>
      </c>
      <c r="AO10" s="51">
        <f t="shared" si="4"/>
        <v>-0.30000000000001137</v>
      </c>
      <c r="AP10" s="51">
        <f t="shared" si="1"/>
        <v>-0.14163636363636556</v>
      </c>
      <c r="AQ10" s="44"/>
      <c r="AR10" s="44"/>
      <c r="AS10" s="44"/>
      <c r="AT10" s="44"/>
      <c r="AU10" s="39"/>
      <c r="AV10" s="39"/>
      <c r="AW10" s="39">
        <f t="shared" si="2"/>
        <v>-0.18599999999997863</v>
      </c>
      <c r="AX10" s="39">
        <f t="shared" si="3"/>
        <v>-9.3000000000003524E-2</v>
      </c>
      <c r="AY10" s="39">
        <f t="shared" si="5"/>
        <v>-0.20099999999999341</v>
      </c>
      <c r="AZ10" s="38">
        <f t="shared" si="6"/>
        <v>-0.11459999999999582</v>
      </c>
    </row>
    <row r="11" spans="1:52" x14ac:dyDescent="0.3">
      <c r="A11" s="28">
        <v>108</v>
      </c>
      <c r="B11" s="40">
        <v>2342536.7310000001</v>
      </c>
      <c r="C11" s="40">
        <v>6022775.7220000001</v>
      </c>
      <c r="D11" s="74">
        <v>78.275000000000006</v>
      </c>
      <c r="E11" s="161" t="s">
        <v>2</v>
      </c>
      <c r="F11" s="81">
        <v>2011</v>
      </c>
      <c r="G11" s="40">
        <v>79.138000000000005</v>
      </c>
      <c r="H11" s="81">
        <v>2014</v>
      </c>
      <c r="I11" s="37">
        <v>79.072000000000003</v>
      </c>
      <c r="J11" s="81">
        <v>2022</v>
      </c>
      <c r="K11" s="58">
        <v>79.138000000000005</v>
      </c>
      <c r="L11" s="17"/>
      <c r="M11" s="17"/>
      <c r="N11" s="17"/>
      <c r="O11" s="17">
        <v>78.92</v>
      </c>
      <c r="P11" s="17">
        <v>79.072000000000003</v>
      </c>
      <c r="Q11" s="17">
        <v>78.891999999999996</v>
      </c>
      <c r="R11" s="37">
        <v>78.781000000000006</v>
      </c>
      <c r="S11" s="17">
        <v>78.695999999999998</v>
      </c>
      <c r="T11" s="37">
        <v>78.706999999999994</v>
      </c>
      <c r="U11" s="37">
        <v>78.641999999999996</v>
      </c>
      <c r="V11" s="37">
        <v>78.686000000000007</v>
      </c>
      <c r="W11" s="37">
        <v>78.63</v>
      </c>
      <c r="X11" s="37">
        <v>78.421999999999997</v>
      </c>
      <c r="Y11" s="37">
        <v>78.581000000000003</v>
      </c>
      <c r="Z11" s="37">
        <v>78.659000000000006</v>
      </c>
      <c r="AA11" s="45">
        <v>78.626999999999995</v>
      </c>
      <c r="AB11" s="45">
        <v>78.397999999999996</v>
      </c>
      <c r="AC11" s="45">
        <v>78.37</v>
      </c>
      <c r="AD11" s="65">
        <v>78.275000000000006</v>
      </c>
      <c r="AE11" s="65">
        <v>78.271000000000001</v>
      </c>
      <c r="AF11" s="58"/>
      <c r="AG11" s="17"/>
      <c r="AH11" s="19">
        <f t="shared" ref="AH11:AH25" si="9">Q11-O11</f>
        <v>-2.8000000000005798E-2</v>
      </c>
      <c r="AI11" s="39">
        <f t="shared" ref="AI11:AI25" si="10">S11-Q11</f>
        <v>-0.19599999999999795</v>
      </c>
      <c r="AJ11" s="39">
        <f t="shared" ref="AJ11:AJ25" si="11">U11-S11</f>
        <v>-5.4000000000002046E-2</v>
      </c>
      <c r="AK11" s="39">
        <f t="shared" ref="AK11:AK25" si="12">W11-U11</f>
        <v>-1.2000000000000455E-2</v>
      </c>
      <c r="AL11" s="39">
        <f t="shared" si="0"/>
        <v>-4.8999999999992383E-2</v>
      </c>
      <c r="AM11" s="39">
        <f t="shared" si="7"/>
        <v>4.5999999999992269E-2</v>
      </c>
      <c r="AN11" s="51">
        <f t="shared" si="8"/>
        <v>-0.2289999999999992</v>
      </c>
      <c r="AO11" s="51">
        <f t="shared" si="4"/>
        <v>-0.12299999999999045</v>
      </c>
      <c r="AP11" s="51">
        <f t="shared" si="1"/>
        <v>-7.8454545454545416E-2</v>
      </c>
      <c r="AQ11" s="31"/>
      <c r="AR11" s="18"/>
      <c r="AS11" s="39">
        <f t="shared" ref="AS11:AS25" si="13">R11-P11</f>
        <v>-0.29099999999999682</v>
      </c>
      <c r="AT11" s="39">
        <f t="shared" ref="AT11:AT25" si="14">T11-R11</f>
        <v>-7.4000000000012278E-2</v>
      </c>
      <c r="AU11" s="39">
        <f>V11-T11</f>
        <v>-2.0999999999986585E-2</v>
      </c>
      <c r="AV11" s="39">
        <f t="shared" ref="AV11:AV24" si="15">X11-V11</f>
        <v>-0.26400000000001</v>
      </c>
      <c r="AW11" s="39">
        <f t="shared" si="2"/>
        <v>0.23700000000000898</v>
      </c>
      <c r="AX11" s="39">
        <f t="shared" si="3"/>
        <v>-0.14450000000000074</v>
      </c>
      <c r="AY11" s="39">
        <f t="shared" si="5"/>
        <v>-9.9000000000003752E-2</v>
      </c>
      <c r="AZ11" s="38">
        <f t="shared" si="6"/>
        <v>-0.10012500000000024</v>
      </c>
    </row>
    <row r="12" spans="1:52" x14ac:dyDescent="0.3">
      <c r="A12" s="3">
        <v>119</v>
      </c>
      <c r="B12" s="37">
        <v>2420921.4840000002</v>
      </c>
      <c r="C12" s="37">
        <v>6035543.2000000002</v>
      </c>
      <c r="D12" s="37">
        <v>110.77800000000001</v>
      </c>
      <c r="E12" s="162">
        <v>109.28</v>
      </c>
      <c r="F12" s="81">
        <v>2011</v>
      </c>
      <c r="G12" s="40">
        <v>111.276</v>
      </c>
      <c r="H12" s="81">
        <v>2012</v>
      </c>
      <c r="I12" s="37">
        <v>111.11</v>
      </c>
      <c r="J12" s="81">
        <v>2022</v>
      </c>
      <c r="K12" s="58">
        <v>111.276</v>
      </c>
      <c r="L12" s="17">
        <v>111.11</v>
      </c>
      <c r="M12" s="17">
        <v>111.142</v>
      </c>
      <c r="N12" s="17">
        <v>111.045</v>
      </c>
      <c r="O12" s="17">
        <v>110.98</v>
      </c>
      <c r="P12" s="17">
        <v>111.133</v>
      </c>
      <c r="Q12" s="17">
        <v>111.125</v>
      </c>
      <c r="R12" s="37">
        <v>111.03100000000001</v>
      </c>
      <c r="S12" s="17">
        <v>110.982</v>
      </c>
      <c r="T12" s="37">
        <v>111.116</v>
      </c>
      <c r="U12" s="37">
        <v>111.054</v>
      </c>
      <c r="V12" s="37">
        <v>111.146</v>
      </c>
      <c r="W12" s="37">
        <v>111.03</v>
      </c>
      <c r="X12" s="37">
        <v>110.84099999999999</v>
      </c>
      <c r="Y12" s="37">
        <v>110.967</v>
      </c>
      <c r="Z12" s="37">
        <v>110.958</v>
      </c>
      <c r="AA12" s="45">
        <v>111.208</v>
      </c>
      <c r="AB12" s="45">
        <v>110.917</v>
      </c>
      <c r="AC12" s="45">
        <v>110.667</v>
      </c>
      <c r="AD12" s="65">
        <v>110.77800000000001</v>
      </c>
      <c r="AE12" s="65">
        <v>110.70699999999999</v>
      </c>
      <c r="AF12" s="58">
        <f>M12-K12</f>
        <v>-0.13400000000000034</v>
      </c>
      <c r="AG12" s="17">
        <f>O12-M12</f>
        <v>-0.16199999999999193</v>
      </c>
      <c r="AH12" s="19">
        <f t="shared" si="9"/>
        <v>0.14499999999999602</v>
      </c>
      <c r="AI12" s="39">
        <f t="shared" si="10"/>
        <v>-0.14300000000000068</v>
      </c>
      <c r="AJ12" s="39">
        <f t="shared" si="11"/>
        <v>7.2000000000002728E-2</v>
      </c>
      <c r="AK12" s="39">
        <f t="shared" si="12"/>
        <v>-2.4000000000000909E-2</v>
      </c>
      <c r="AL12" s="39">
        <f t="shared" si="0"/>
        <v>-6.3000000000002387E-2</v>
      </c>
      <c r="AM12" s="39">
        <f t="shared" si="7"/>
        <v>0.24099999999999966</v>
      </c>
      <c r="AN12" s="51">
        <f t="shared" si="8"/>
        <v>-0.29099999999999682</v>
      </c>
      <c r="AO12" s="51">
        <f t="shared" si="4"/>
        <v>-0.13899999999999579</v>
      </c>
      <c r="AP12" s="51">
        <f t="shared" si="1"/>
        <v>-4.5272727272726403E-2</v>
      </c>
      <c r="AQ12" s="31">
        <f>N12-L12</f>
        <v>-6.4999999999997726E-2</v>
      </c>
      <c r="AR12" s="19">
        <f>P12-N12</f>
        <v>8.7999999999993861E-2</v>
      </c>
      <c r="AS12" s="39">
        <f t="shared" si="13"/>
        <v>-0.10199999999998965</v>
      </c>
      <c r="AT12" s="39">
        <f t="shared" si="14"/>
        <v>8.4999999999993747E-2</v>
      </c>
      <c r="AU12" s="39">
        <f>V12-T12</f>
        <v>3.0000000000001137E-2</v>
      </c>
      <c r="AV12" s="39">
        <f t="shared" si="15"/>
        <v>-0.30500000000000682</v>
      </c>
      <c r="AW12" s="39">
        <f t="shared" si="2"/>
        <v>0.11700000000000443</v>
      </c>
      <c r="AX12" s="39">
        <f t="shared" si="3"/>
        <v>-0.14549999999999841</v>
      </c>
      <c r="AY12" s="39">
        <f t="shared" si="5"/>
        <v>3.9999999999992042E-2</v>
      </c>
      <c r="AZ12" s="39">
        <f t="shared" si="6"/>
        <v>-4.0300000000000578E-2</v>
      </c>
    </row>
    <row r="13" spans="1:52" x14ac:dyDescent="0.3">
      <c r="A13" s="3">
        <v>120</v>
      </c>
      <c r="B13" s="37">
        <v>2246625.9890000001</v>
      </c>
      <c r="C13" s="37">
        <v>6356803.6359999999</v>
      </c>
      <c r="D13" s="37">
        <v>606.673</v>
      </c>
      <c r="E13" s="162">
        <v>604.16399999999999</v>
      </c>
      <c r="F13" s="81">
        <v>2011</v>
      </c>
      <c r="G13" s="40">
        <v>606.67899999999997</v>
      </c>
      <c r="H13" s="81">
        <v>2014</v>
      </c>
      <c r="I13" s="37">
        <v>606.673</v>
      </c>
      <c r="J13" s="81">
        <v>2022</v>
      </c>
      <c r="K13" s="58">
        <v>606.67899999999997</v>
      </c>
      <c r="L13" s="17"/>
      <c r="M13" s="17"/>
      <c r="N13" s="17"/>
      <c r="O13" s="17">
        <v>606.61</v>
      </c>
      <c r="P13" s="17">
        <v>606.673</v>
      </c>
      <c r="Q13" s="17">
        <v>606.58100000000002</v>
      </c>
      <c r="R13" s="37">
        <v>606.64599999999996</v>
      </c>
      <c r="S13" s="17">
        <v>606.65300000000002</v>
      </c>
      <c r="T13" s="37">
        <v>606.67700000000002</v>
      </c>
      <c r="U13" s="37">
        <v>606.65499999999997</v>
      </c>
      <c r="V13" s="37">
        <v>606.69299999999998</v>
      </c>
      <c r="W13" s="37">
        <v>606.63</v>
      </c>
      <c r="X13" s="37">
        <v>606.678</v>
      </c>
      <c r="Y13" s="37">
        <v>606.62099999999998</v>
      </c>
      <c r="Z13" s="37">
        <v>606.66099999999994</v>
      </c>
      <c r="AA13" s="45">
        <v>606.64599999999996</v>
      </c>
      <c r="AB13" s="45">
        <v>606.63300000000004</v>
      </c>
      <c r="AC13" s="45">
        <v>606.79499999999996</v>
      </c>
      <c r="AD13" s="65">
        <v>606.673</v>
      </c>
      <c r="AE13" s="65">
        <v>606.69200000000001</v>
      </c>
      <c r="AF13" s="58"/>
      <c r="AG13" s="17"/>
      <c r="AH13" s="19">
        <f t="shared" si="9"/>
        <v>-2.8999999999996362E-2</v>
      </c>
      <c r="AI13" s="39">
        <f t="shared" si="10"/>
        <v>7.2000000000002728E-2</v>
      </c>
      <c r="AJ13" s="39">
        <f t="shared" si="11"/>
        <v>1.9999999999527063E-3</v>
      </c>
      <c r="AK13" s="39">
        <f t="shared" si="12"/>
        <v>-2.4999999999977263E-2</v>
      </c>
      <c r="AL13" s="39">
        <f t="shared" si="0"/>
        <v>-9.0000000000145519E-3</v>
      </c>
      <c r="AM13" s="39">
        <f t="shared" si="7"/>
        <v>2.4999999999977263E-2</v>
      </c>
      <c r="AN13" s="51">
        <f t="shared" si="8"/>
        <v>-1.2999999999919964E-2</v>
      </c>
      <c r="AO13" s="51">
        <f t="shared" si="4"/>
        <v>3.999999999996362E-2</v>
      </c>
      <c r="AP13" s="51">
        <f t="shared" si="1"/>
        <v>-5.4545454545198231E-4</v>
      </c>
      <c r="AQ13" s="31"/>
      <c r="AR13" s="18"/>
      <c r="AS13" s="39">
        <f t="shared" si="13"/>
        <v>-2.7000000000043656E-2</v>
      </c>
      <c r="AT13" s="39">
        <f t="shared" si="14"/>
        <v>3.1000000000062755E-2</v>
      </c>
      <c r="AU13" s="39">
        <f>V13-T13</f>
        <v>1.5999999999962711E-2</v>
      </c>
      <c r="AV13" s="39">
        <f t="shared" si="15"/>
        <v>-1.4999999999986358E-2</v>
      </c>
      <c r="AW13" s="39">
        <f t="shared" si="2"/>
        <v>-1.7000000000052751E-2</v>
      </c>
      <c r="AX13" s="39">
        <f t="shared" si="3"/>
        <v>6.7000000000007276E-2</v>
      </c>
      <c r="AY13" s="39">
        <f t="shared" si="5"/>
        <v>-0.1029999999999518</v>
      </c>
      <c r="AZ13" s="38">
        <f t="shared" si="6"/>
        <v>2.3750000000006821E-3</v>
      </c>
    </row>
    <row r="14" spans="1:52" x14ac:dyDescent="0.3">
      <c r="A14" s="3">
        <v>121</v>
      </c>
      <c r="B14" s="37">
        <v>2244410.2239999999</v>
      </c>
      <c r="C14" s="37">
        <v>6123306.2460000003</v>
      </c>
      <c r="D14" s="37">
        <v>126.84399999999999</v>
      </c>
      <c r="E14" s="161" t="s">
        <v>3</v>
      </c>
      <c r="F14" s="81">
        <v>2011</v>
      </c>
      <c r="G14" s="37">
        <v>129.75700000000001</v>
      </c>
      <c r="H14" s="81">
        <v>2012</v>
      </c>
      <c r="I14" s="37">
        <v>129.51599999999999</v>
      </c>
      <c r="J14" s="81">
        <v>2022</v>
      </c>
      <c r="K14" s="58">
        <v>129.75700000000001</v>
      </c>
      <c r="L14" s="17">
        <v>129.51599999999999</v>
      </c>
      <c r="M14" s="17">
        <v>129.405</v>
      </c>
      <c r="N14" s="17">
        <v>129.08500000000001</v>
      </c>
      <c r="O14" s="17">
        <v>128.93</v>
      </c>
      <c r="P14" s="17">
        <v>128.703</v>
      </c>
      <c r="Q14" s="17">
        <v>128.63999999999999</v>
      </c>
      <c r="R14" s="37">
        <v>128.31399999999999</v>
      </c>
      <c r="S14" s="17">
        <v>128.137</v>
      </c>
      <c r="T14" s="37">
        <v>128.024</v>
      </c>
      <c r="U14" s="37">
        <v>127.79900000000001</v>
      </c>
      <c r="V14" s="37">
        <v>127.68600000000001</v>
      </c>
      <c r="W14" s="37">
        <v>127.64</v>
      </c>
      <c r="X14" s="37">
        <v>127.51900000000001</v>
      </c>
      <c r="Y14" s="37">
        <v>127.44199999999999</v>
      </c>
      <c r="Z14" s="37">
        <v>127.371</v>
      </c>
      <c r="AA14" s="45">
        <v>127.297</v>
      </c>
      <c r="AB14" s="45">
        <v>127.086</v>
      </c>
      <c r="AC14" s="45">
        <v>126.932</v>
      </c>
      <c r="AD14" s="65">
        <v>126.84399999999999</v>
      </c>
      <c r="AE14" s="65">
        <v>126.721</v>
      </c>
      <c r="AF14" s="58">
        <f t="shared" ref="AF14:AF25" si="16">M14-K14</f>
        <v>-0.35200000000000387</v>
      </c>
      <c r="AG14" s="17">
        <f t="shared" ref="AG14:AG25" si="17">O14-M14</f>
        <v>-0.47499999999999432</v>
      </c>
      <c r="AH14" s="19">
        <f t="shared" si="9"/>
        <v>-0.29000000000002046</v>
      </c>
      <c r="AI14" s="39">
        <f t="shared" si="10"/>
        <v>-0.5029999999999859</v>
      </c>
      <c r="AJ14" s="39">
        <f t="shared" si="11"/>
        <v>-0.33799999999999386</v>
      </c>
      <c r="AK14" s="39">
        <f t="shared" si="12"/>
        <v>-0.15900000000000603</v>
      </c>
      <c r="AL14" s="39">
        <f t="shared" si="0"/>
        <v>-0.1980000000000075</v>
      </c>
      <c r="AM14" s="39">
        <f t="shared" si="7"/>
        <v>-0.14499999999999602</v>
      </c>
      <c r="AN14" s="45">
        <f t="shared" si="8"/>
        <v>-0.21099999999999852</v>
      </c>
      <c r="AO14" s="51">
        <f t="shared" si="4"/>
        <v>-0.24200000000000443</v>
      </c>
      <c r="AP14" s="51">
        <f t="shared" si="1"/>
        <v>-0.26481818181818279</v>
      </c>
      <c r="AQ14" s="31">
        <f t="shared" ref="AQ14:AQ25" si="18">N14-L14</f>
        <v>-0.43099999999998317</v>
      </c>
      <c r="AR14" s="19">
        <f t="shared" ref="AR14:AR25" si="19">P14-N14</f>
        <v>-0.382000000000005</v>
      </c>
      <c r="AS14" s="39">
        <f t="shared" si="13"/>
        <v>-0.38900000000001</v>
      </c>
      <c r="AT14" s="39">
        <f t="shared" si="14"/>
        <v>-0.28999999999999204</v>
      </c>
      <c r="AU14" s="39">
        <f>V14-T14</f>
        <v>-0.33799999999999386</v>
      </c>
      <c r="AV14" s="39">
        <f t="shared" si="15"/>
        <v>-0.16700000000000159</v>
      </c>
      <c r="AW14" s="39">
        <f t="shared" si="2"/>
        <v>-0.14800000000001035</v>
      </c>
      <c r="AX14" s="39">
        <f t="shared" si="3"/>
        <v>-0.21949999999999648</v>
      </c>
      <c r="AY14" s="39">
        <f t="shared" si="5"/>
        <v>-0.21099999999999852</v>
      </c>
      <c r="AZ14" s="39">
        <f t="shared" si="6"/>
        <v>-0.27949999999999875</v>
      </c>
    </row>
    <row r="15" spans="1:52" x14ac:dyDescent="0.3">
      <c r="A15" s="3">
        <v>122</v>
      </c>
      <c r="B15" s="37">
        <v>2166402.673</v>
      </c>
      <c r="C15" s="37">
        <v>6153888.5980000002</v>
      </c>
      <c r="D15" s="37">
        <v>166.98</v>
      </c>
      <c r="E15" s="161" t="s">
        <v>4</v>
      </c>
      <c r="F15" s="81">
        <v>2011</v>
      </c>
      <c r="G15" s="37">
        <v>167.999</v>
      </c>
      <c r="H15" s="81">
        <v>2012</v>
      </c>
      <c r="I15" s="37">
        <v>167.90600000000001</v>
      </c>
      <c r="J15" s="81">
        <v>2022</v>
      </c>
      <c r="K15" s="58">
        <v>167.999</v>
      </c>
      <c r="L15" s="17">
        <v>167.90600000000001</v>
      </c>
      <c r="M15" s="17">
        <v>168</v>
      </c>
      <c r="N15" s="17">
        <v>167.86799999999999</v>
      </c>
      <c r="O15" s="17">
        <v>167.83</v>
      </c>
      <c r="P15" s="17">
        <v>167.696</v>
      </c>
      <c r="Q15" s="17">
        <v>167.71899999999999</v>
      </c>
      <c r="R15" s="37">
        <v>167.54300000000001</v>
      </c>
      <c r="S15" s="17">
        <v>167.46299999999999</v>
      </c>
      <c r="T15" s="37">
        <v>167.42400000000001</v>
      </c>
      <c r="U15" s="37">
        <v>167.274</v>
      </c>
      <c r="V15" s="37">
        <v>167.29300000000001</v>
      </c>
      <c r="W15" s="37">
        <v>167.37</v>
      </c>
      <c r="X15" s="37">
        <v>167.39599999999999</v>
      </c>
      <c r="Y15" s="37">
        <v>167.31299999999999</v>
      </c>
      <c r="Z15" s="37">
        <v>167.291</v>
      </c>
      <c r="AA15" s="45">
        <v>167.214</v>
      </c>
      <c r="AB15" s="45">
        <v>167.15600000000001</v>
      </c>
      <c r="AC15" s="45">
        <v>167.14699999999999</v>
      </c>
      <c r="AD15" s="65">
        <v>166.98</v>
      </c>
      <c r="AE15" s="65">
        <v>166.89599999999999</v>
      </c>
      <c r="AF15" s="58">
        <f t="shared" si="16"/>
        <v>1.0000000000047748E-3</v>
      </c>
      <c r="AG15" s="17">
        <f t="shared" si="17"/>
        <v>-0.16999999999998749</v>
      </c>
      <c r="AH15" s="19">
        <f t="shared" si="9"/>
        <v>-0.11100000000001842</v>
      </c>
      <c r="AI15" s="39">
        <f t="shared" si="10"/>
        <v>-0.25600000000000023</v>
      </c>
      <c r="AJ15" s="39">
        <f t="shared" si="11"/>
        <v>-0.18899999999999295</v>
      </c>
      <c r="AK15" s="39">
        <f t="shared" si="12"/>
        <v>9.6000000000003638E-2</v>
      </c>
      <c r="AL15" s="39">
        <f t="shared" si="0"/>
        <v>-5.7000000000016371E-2</v>
      </c>
      <c r="AM15" s="39">
        <f t="shared" si="7"/>
        <v>-9.8999999999989541E-2</v>
      </c>
      <c r="AN15" s="45">
        <f t="shared" si="8"/>
        <v>-5.7999999999992724E-2</v>
      </c>
      <c r="AO15" s="51">
        <f t="shared" si="4"/>
        <v>-0.17600000000001614</v>
      </c>
      <c r="AP15" s="51">
        <f t="shared" si="1"/>
        <v>-9.2636363636364127E-2</v>
      </c>
      <c r="AQ15" s="31">
        <f t="shared" si="18"/>
        <v>-3.8000000000010914E-2</v>
      </c>
      <c r="AR15" s="19">
        <f t="shared" si="19"/>
        <v>-0.17199999999999704</v>
      </c>
      <c r="AS15" s="39">
        <f t="shared" si="13"/>
        <v>-0.15299999999999159</v>
      </c>
      <c r="AT15" s="39">
        <f t="shared" si="14"/>
        <v>-0.11899999999999977</v>
      </c>
      <c r="AU15" s="39">
        <f>V15-T15</f>
        <v>-0.13100000000000023</v>
      </c>
      <c r="AV15" s="39">
        <f t="shared" si="15"/>
        <v>0.10299999999998022</v>
      </c>
      <c r="AW15" s="39">
        <f t="shared" si="2"/>
        <v>-0.10499999999998977</v>
      </c>
      <c r="AX15" s="39">
        <f t="shared" si="3"/>
        <v>-7.2000000000002728E-2</v>
      </c>
      <c r="AY15" s="39">
        <f t="shared" si="5"/>
        <v>-0.25100000000000477</v>
      </c>
      <c r="AZ15" s="39">
        <f t="shared" si="6"/>
        <v>-0.10100000000000194</v>
      </c>
    </row>
    <row r="16" spans="1:52" x14ac:dyDescent="0.3">
      <c r="A16" s="3">
        <v>123</v>
      </c>
      <c r="B16" s="37">
        <v>2232691.2889999999</v>
      </c>
      <c r="C16" s="37">
        <v>6167201.6639999999</v>
      </c>
      <c r="D16" s="37">
        <v>157.73400000000001</v>
      </c>
      <c r="E16" s="161" t="s">
        <v>5</v>
      </c>
      <c r="F16" s="81">
        <v>2011</v>
      </c>
      <c r="G16" s="37">
        <v>162.65899999999999</v>
      </c>
      <c r="H16" s="81">
        <v>2012</v>
      </c>
      <c r="I16" s="37">
        <v>162.40299999999999</v>
      </c>
      <c r="J16" s="81">
        <v>2022</v>
      </c>
      <c r="K16" s="58">
        <v>162.65899999999999</v>
      </c>
      <c r="L16" s="17">
        <v>162.40299999999999</v>
      </c>
      <c r="M16" s="17">
        <v>162.35300000000001</v>
      </c>
      <c r="N16" s="17">
        <v>162.14400000000001</v>
      </c>
      <c r="O16" s="17">
        <v>161.84</v>
      </c>
      <c r="P16" s="17">
        <v>161.626</v>
      </c>
      <c r="Q16" s="17">
        <v>161.52600000000001</v>
      </c>
      <c r="R16" s="37">
        <v>161.09399999999999</v>
      </c>
      <c r="S16" s="17">
        <v>160.852</v>
      </c>
      <c r="T16" s="37">
        <v>160.542</v>
      </c>
      <c r="U16" s="37">
        <v>160.249</v>
      </c>
      <c r="V16" s="37">
        <v>159.88999999999999</v>
      </c>
      <c r="W16" s="37">
        <v>159.71</v>
      </c>
      <c r="X16" s="37">
        <v>159.29300000000001</v>
      </c>
      <c r="Y16" s="37">
        <v>159.11199999999999</v>
      </c>
      <c r="Z16" s="37">
        <v>158.81100000000001</v>
      </c>
      <c r="AA16" s="45">
        <v>158.572</v>
      </c>
      <c r="AB16" s="45">
        <v>158.179</v>
      </c>
      <c r="AC16" s="45">
        <v>157.917</v>
      </c>
      <c r="AD16" s="65">
        <v>157.73400000000001</v>
      </c>
      <c r="AE16" s="65">
        <v>157.50899999999999</v>
      </c>
      <c r="AF16" s="58">
        <f t="shared" si="16"/>
        <v>-0.30599999999998317</v>
      </c>
      <c r="AG16" s="17">
        <f t="shared" si="17"/>
        <v>-0.51300000000000523</v>
      </c>
      <c r="AH16" s="19">
        <f t="shared" si="9"/>
        <v>-0.31399999999999295</v>
      </c>
      <c r="AI16" s="39">
        <f t="shared" si="10"/>
        <v>-0.67400000000000659</v>
      </c>
      <c r="AJ16" s="39">
        <f t="shared" si="11"/>
        <v>-0.60300000000000864</v>
      </c>
      <c r="AK16" s="39">
        <f t="shared" si="12"/>
        <v>-0.53899999999998727</v>
      </c>
      <c r="AL16" s="39">
        <f t="shared" si="0"/>
        <v>-0.59800000000001319</v>
      </c>
      <c r="AM16" s="39">
        <f t="shared" si="7"/>
        <v>-0.53999999999999204</v>
      </c>
      <c r="AN16" s="45">
        <f t="shared" si="8"/>
        <v>-0.39300000000000068</v>
      </c>
      <c r="AO16" s="51">
        <f t="shared" si="4"/>
        <v>-0.44499999999999318</v>
      </c>
      <c r="AP16" s="51">
        <f t="shared" si="1"/>
        <v>-0.4477272727272712</v>
      </c>
      <c r="AQ16" s="31">
        <f t="shared" si="18"/>
        <v>-0.25899999999998613</v>
      </c>
      <c r="AR16" s="19">
        <f t="shared" si="19"/>
        <v>-0.51800000000000068</v>
      </c>
      <c r="AS16" s="39">
        <f t="shared" si="13"/>
        <v>-0.53200000000001069</v>
      </c>
      <c r="AT16" s="39">
        <f t="shared" si="14"/>
        <v>-0.5519999999999925</v>
      </c>
      <c r="AU16" s="39">
        <f>U16-S16</f>
        <v>-0.60300000000000864</v>
      </c>
      <c r="AV16" s="39">
        <f t="shared" si="15"/>
        <v>-0.59699999999997999</v>
      </c>
      <c r="AW16" s="39">
        <f t="shared" si="2"/>
        <v>-0.48199999999999932</v>
      </c>
      <c r="AX16" s="39">
        <f t="shared" si="3"/>
        <v>-0.44700000000000273</v>
      </c>
      <c r="AY16" s="39">
        <f t="shared" si="5"/>
        <v>-0.40800000000001546</v>
      </c>
      <c r="AZ16" s="39">
        <f t="shared" si="6"/>
        <v>-0.48940000000000056</v>
      </c>
    </row>
    <row r="17" spans="1:52" x14ac:dyDescent="0.3">
      <c r="A17" s="3">
        <v>124</v>
      </c>
      <c r="B17" s="37">
        <v>2280839.1209999998</v>
      </c>
      <c r="C17" s="37">
        <v>6138903.1799999997</v>
      </c>
      <c r="D17" s="37">
        <v>145.34200000000001</v>
      </c>
      <c r="E17" s="161" t="s">
        <v>6</v>
      </c>
      <c r="F17" s="81">
        <v>2011</v>
      </c>
      <c r="G17" s="37">
        <v>149.56399999999999</v>
      </c>
      <c r="H17" s="81">
        <v>2012</v>
      </c>
      <c r="I17" s="37">
        <v>149.33699999999999</v>
      </c>
      <c r="J17" s="81">
        <v>2022</v>
      </c>
      <c r="K17" s="58">
        <v>149.56399999999999</v>
      </c>
      <c r="L17" s="17">
        <v>149.33699999999999</v>
      </c>
      <c r="M17" s="17">
        <v>149.31899999999999</v>
      </c>
      <c r="N17" s="17">
        <v>148.899</v>
      </c>
      <c r="O17" s="17">
        <v>148.68</v>
      </c>
      <c r="P17" s="17">
        <v>148.22399999999999</v>
      </c>
      <c r="Q17" s="17">
        <v>148.08699999999999</v>
      </c>
      <c r="R17" s="37">
        <v>147.33000000000001</v>
      </c>
      <c r="S17" s="17">
        <v>147.137</v>
      </c>
      <c r="T17" s="37">
        <v>146.95599999999999</v>
      </c>
      <c r="U17" s="37">
        <v>146.721</v>
      </c>
      <c r="V17" s="37">
        <v>146.58799999999999</v>
      </c>
      <c r="W17" s="37">
        <v>146.55000000000001</v>
      </c>
      <c r="X17" s="37">
        <v>146.233</v>
      </c>
      <c r="Y17" s="37">
        <v>146.23699999999999</v>
      </c>
      <c r="Z17" s="37">
        <v>146.047</v>
      </c>
      <c r="AA17" s="45">
        <v>146.078</v>
      </c>
      <c r="AB17" s="45">
        <v>145.77199999999999</v>
      </c>
      <c r="AC17" s="45">
        <v>145.38399999999999</v>
      </c>
      <c r="AD17" s="65">
        <v>145.34200000000001</v>
      </c>
      <c r="AE17" s="65">
        <v>144.898</v>
      </c>
      <c r="AF17" s="58">
        <f t="shared" si="16"/>
        <v>-0.24500000000000455</v>
      </c>
      <c r="AG17" s="17">
        <f t="shared" si="17"/>
        <v>-0.63899999999998158</v>
      </c>
      <c r="AH17" s="19">
        <f t="shared" si="9"/>
        <v>-0.59300000000001774</v>
      </c>
      <c r="AI17" s="39">
        <f t="shared" si="10"/>
        <v>-0.94999999999998863</v>
      </c>
      <c r="AJ17" s="39">
        <f t="shared" si="11"/>
        <v>-0.41599999999999682</v>
      </c>
      <c r="AK17" s="39">
        <f t="shared" si="12"/>
        <v>-0.17099999999999227</v>
      </c>
      <c r="AL17" s="39">
        <f t="shared" si="0"/>
        <v>-0.3130000000000166</v>
      </c>
      <c r="AM17" s="39">
        <f t="shared" si="7"/>
        <v>-0.15899999999999181</v>
      </c>
      <c r="AN17" s="45">
        <f t="shared" si="8"/>
        <v>-0.3060000000000116</v>
      </c>
      <c r="AO17" s="51">
        <f t="shared" si="4"/>
        <v>-0.4299999999999784</v>
      </c>
      <c r="AP17" s="51">
        <f t="shared" si="1"/>
        <v>-0.38381818181818</v>
      </c>
      <c r="AQ17" s="31">
        <f t="shared" si="18"/>
        <v>-0.43799999999998818</v>
      </c>
      <c r="AR17" s="19">
        <f t="shared" si="19"/>
        <v>-0.67500000000001137</v>
      </c>
      <c r="AS17" s="39">
        <f t="shared" si="13"/>
        <v>-0.89399999999997704</v>
      </c>
      <c r="AT17" s="39">
        <f t="shared" si="14"/>
        <v>-0.37400000000002365</v>
      </c>
      <c r="AU17" s="39">
        <f t="shared" ref="AU17:AU25" si="20">V17-T17</f>
        <v>-0.367999999999995</v>
      </c>
      <c r="AV17" s="39">
        <f t="shared" si="15"/>
        <v>-0.35499999999998977</v>
      </c>
      <c r="AW17" s="39">
        <f t="shared" si="2"/>
        <v>-0.18600000000000705</v>
      </c>
      <c r="AX17" s="39">
        <f t="shared" si="3"/>
        <v>-0.33150000000000546</v>
      </c>
      <c r="AY17" s="39">
        <f t="shared" si="5"/>
        <v>-0.48599999999999</v>
      </c>
      <c r="AZ17" s="39">
        <f t="shared" si="6"/>
        <v>-0.4438999999999993</v>
      </c>
    </row>
    <row r="18" spans="1:52" x14ac:dyDescent="0.3">
      <c r="A18" s="49">
        <v>125</v>
      </c>
      <c r="B18" s="142" t="s">
        <v>103</v>
      </c>
      <c r="C18" s="142"/>
      <c r="D18" s="142"/>
      <c r="E18" s="161" t="s">
        <v>7</v>
      </c>
      <c r="F18" s="81">
        <v>2011</v>
      </c>
      <c r="G18" s="37">
        <v>184.18100000000001</v>
      </c>
      <c r="H18" s="81">
        <v>2012</v>
      </c>
      <c r="I18" s="37">
        <v>184.072</v>
      </c>
      <c r="J18" s="81">
        <v>2022</v>
      </c>
      <c r="K18" s="58">
        <v>184.18100000000001</v>
      </c>
      <c r="L18" s="17">
        <v>184.072</v>
      </c>
      <c r="M18" s="17">
        <v>184.12899999999999</v>
      </c>
      <c r="N18" s="17">
        <v>184.02699999999999</v>
      </c>
      <c r="O18" s="17">
        <v>183.97</v>
      </c>
      <c r="P18" s="17">
        <v>183.85599999999999</v>
      </c>
      <c r="Q18" s="17">
        <v>183.87799999999999</v>
      </c>
      <c r="R18" s="37">
        <v>183.73</v>
      </c>
      <c r="S18" s="17">
        <v>183.66</v>
      </c>
      <c r="T18" s="37">
        <v>183.65600000000001</v>
      </c>
      <c r="U18" s="37">
        <v>183.48400000000001</v>
      </c>
      <c r="V18" s="37">
        <v>183.48</v>
      </c>
      <c r="W18" s="37">
        <v>183.51</v>
      </c>
      <c r="X18" s="37">
        <v>183.435</v>
      </c>
      <c r="Y18" s="37">
        <v>183.36199999999999</v>
      </c>
      <c r="Z18" s="37">
        <v>183.30199999999999</v>
      </c>
      <c r="AA18" s="72"/>
      <c r="AB18" s="72"/>
      <c r="AC18" s="76"/>
      <c r="AD18" s="95"/>
      <c r="AE18" s="89"/>
      <c r="AF18" s="58">
        <f t="shared" si="16"/>
        <v>-5.2000000000020918E-2</v>
      </c>
      <c r="AG18" s="17">
        <f t="shared" si="17"/>
        <v>-0.15899999999999181</v>
      </c>
      <c r="AH18" s="19">
        <f t="shared" si="9"/>
        <v>-9.200000000001296E-2</v>
      </c>
      <c r="AI18" s="39">
        <f t="shared" si="10"/>
        <v>-0.21799999999998931</v>
      </c>
      <c r="AJ18" s="39">
        <f t="shared" si="11"/>
        <v>-0.17599999999998772</v>
      </c>
      <c r="AK18" s="39">
        <f t="shared" si="12"/>
        <v>2.5999999999982037E-2</v>
      </c>
      <c r="AL18" s="39">
        <f t="shared" si="0"/>
        <v>-0.14799999999999613</v>
      </c>
      <c r="AM18" s="73"/>
      <c r="AN18" s="72"/>
      <c r="AO18" s="87"/>
      <c r="AP18" s="89"/>
      <c r="AQ18" s="31">
        <f t="shared" si="18"/>
        <v>-4.5000000000015916E-2</v>
      </c>
      <c r="AR18" s="19">
        <f t="shared" si="19"/>
        <v>-0.17099999999999227</v>
      </c>
      <c r="AS18" s="39">
        <f t="shared" si="13"/>
        <v>-0.12600000000000477</v>
      </c>
      <c r="AT18" s="39">
        <f t="shared" si="14"/>
        <v>-7.3999999999983856E-2</v>
      </c>
      <c r="AU18" s="39">
        <f t="shared" si="20"/>
        <v>-0.17600000000001614</v>
      </c>
      <c r="AV18" s="39">
        <f t="shared" si="15"/>
        <v>-4.4999999999987494E-2</v>
      </c>
      <c r="AW18" s="39">
        <f t="shared" si="2"/>
        <v>-0.13300000000000978</v>
      </c>
      <c r="AX18" s="76"/>
      <c r="AY18" s="94"/>
      <c r="AZ18" s="76"/>
    </row>
    <row r="19" spans="1:52" x14ac:dyDescent="0.3">
      <c r="A19" s="3">
        <v>126</v>
      </c>
      <c r="B19" s="37">
        <v>2355392.8220000002</v>
      </c>
      <c r="C19" s="37">
        <v>6132094.6189999999</v>
      </c>
      <c r="D19" s="37">
        <v>167.05199999999999</v>
      </c>
      <c r="E19" s="161" t="s">
        <v>115</v>
      </c>
      <c r="F19" s="81">
        <v>2011</v>
      </c>
      <c r="G19" s="37">
        <v>167.376</v>
      </c>
      <c r="H19" s="81">
        <v>2012</v>
      </c>
      <c r="I19" s="37">
        <v>167.291</v>
      </c>
      <c r="J19" s="81">
        <v>2022</v>
      </c>
      <c r="K19" s="58">
        <v>167.376</v>
      </c>
      <c r="L19" s="17">
        <v>167.291</v>
      </c>
      <c r="M19" s="17">
        <v>167.29300000000001</v>
      </c>
      <c r="N19" s="17">
        <v>167.286</v>
      </c>
      <c r="O19" s="17">
        <v>167.17</v>
      </c>
      <c r="P19" s="17">
        <v>167.27699999999999</v>
      </c>
      <c r="Q19" s="17">
        <v>167.35</v>
      </c>
      <c r="R19" s="37">
        <v>167.178</v>
      </c>
      <c r="S19" s="17">
        <v>167.12299999999999</v>
      </c>
      <c r="T19" s="37">
        <v>167.33799999999999</v>
      </c>
      <c r="U19" s="37">
        <v>167.179</v>
      </c>
      <c r="V19" s="37">
        <v>167.25800000000001</v>
      </c>
      <c r="W19" s="37">
        <v>167.16</v>
      </c>
      <c r="X19" s="37">
        <v>167.11099999999999</v>
      </c>
      <c r="Y19" s="37">
        <v>167.16</v>
      </c>
      <c r="Z19" s="37">
        <v>167.167</v>
      </c>
      <c r="AA19" s="45">
        <v>167.21</v>
      </c>
      <c r="AB19" s="45">
        <v>167.11</v>
      </c>
      <c r="AC19" s="45">
        <v>166.99100000000001</v>
      </c>
      <c r="AD19" s="90">
        <v>167.05199999999999</v>
      </c>
      <c r="AE19" s="90">
        <v>167.01900000000001</v>
      </c>
      <c r="AF19" s="58">
        <f t="shared" si="16"/>
        <v>-8.2999999999998408E-2</v>
      </c>
      <c r="AG19" s="17">
        <f t="shared" si="17"/>
        <v>-0.12300000000001887</v>
      </c>
      <c r="AH19" s="19">
        <f t="shared" si="9"/>
        <v>0.18000000000000682</v>
      </c>
      <c r="AI19" s="39">
        <f t="shared" si="10"/>
        <v>-0.22700000000000387</v>
      </c>
      <c r="AJ19" s="39">
        <f t="shared" si="11"/>
        <v>5.6000000000011596E-2</v>
      </c>
      <c r="AK19" s="39">
        <f t="shared" si="12"/>
        <v>-1.9000000000005457E-2</v>
      </c>
      <c r="AL19" s="39">
        <f t="shared" si="0"/>
        <v>0</v>
      </c>
      <c r="AM19" s="39">
        <f t="shared" ref="AM19:AM24" si="21">AA19-Y19</f>
        <v>5.0000000000011369E-2</v>
      </c>
      <c r="AN19" s="45">
        <f t="shared" ref="AN19:AN24" si="22">AB19-AA19</f>
        <v>-9.9999999999994316E-2</v>
      </c>
      <c r="AO19" s="51">
        <f t="shared" ref="AO19:AO24" si="23">AD19-AB19</f>
        <v>-5.8000000000021146E-2</v>
      </c>
      <c r="AP19" s="51">
        <f t="shared" ref="AP19:AP24" si="24">(AD19-G19)/(J19-F19)</f>
        <v>-2.9454545454546569E-2</v>
      </c>
      <c r="AQ19" s="31">
        <f t="shared" si="18"/>
        <v>-4.9999999999954525E-3</v>
      </c>
      <c r="AR19" s="19">
        <f t="shared" si="19"/>
        <v>-9.0000000000145519E-3</v>
      </c>
      <c r="AS19" s="39">
        <f t="shared" si="13"/>
        <v>-9.8999999999989541E-2</v>
      </c>
      <c r="AT19" s="39">
        <f t="shared" si="14"/>
        <v>0.15999999999999659</v>
      </c>
      <c r="AU19" s="39">
        <f t="shared" si="20"/>
        <v>-7.9999999999984084E-2</v>
      </c>
      <c r="AV19" s="39">
        <f t="shared" si="15"/>
        <v>-0.14700000000001978</v>
      </c>
      <c r="AW19" s="39">
        <f t="shared" si="2"/>
        <v>5.6000000000011596E-2</v>
      </c>
      <c r="AX19" s="39">
        <f t="shared" ref="AX19:AX24" si="25">(AC19-Z19)/2</f>
        <v>-8.7999999999993861E-2</v>
      </c>
      <c r="AY19" s="39">
        <f t="shared" ref="AY19:AY24" si="26">AE19-AC19</f>
        <v>2.7999999999991587E-2</v>
      </c>
      <c r="AZ19" s="39">
        <f t="shared" ref="AZ19:AZ24" si="27">(AE19-$I19)/(2022-$H19)</f>
        <v>-2.7199999999999135E-2</v>
      </c>
    </row>
    <row r="20" spans="1:52" x14ac:dyDescent="0.3">
      <c r="A20" s="3">
        <v>127</v>
      </c>
      <c r="B20" s="37">
        <v>2195250.7540000002</v>
      </c>
      <c r="C20" s="37">
        <v>6199772.7230000002</v>
      </c>
      <c r="D20" s="37">
        <v>181.28100000000001</v>
      </c>
      <c r="E20" s="161" t="s">
        <v>8</v>
      </c>
      <c r="F20" s="81">
        <v>2011</v>
      </c>
      <c r="G20" s="37">
        <v>182.87200000000001</v>
      </c>
      <c r="H20" s="81">
        <v>2012</v>
      </c>
      <c r="I20" s="37">
        <v>182.89500000000001</v>
      </c>
      <c r="J20" s="81">
        <v>2022</v>
      </c>
      <c r="K20" s="58">
        <v>182.87200000000001</v>
      </c>
      <c r="L20" s="17">
        <v>182.89500000000001</v>
      </c>
      <c r="M20" s="17">
        <v>182.821</v>
      </c>
      <c r="N20" s="17">
        <v>182.73599999999999</v>
      </c>
      <c r="O20" s="17">
        <v>182.64</v>
      </c>
      <c r="P20" s="17">
        <v>182.49799999999999</v>
      </c>
      <c r="Q20" s="17">
        <v>182.52500000000001</v>
      </c>
      <c r="R20" s="37">
        <v>182.393</v>
      </c>
      <c r="S20" s="17">
        <v>182.30099999999999</v>
      </c>
      <c r="T20" s="37">
        <v>182.19200000000001</v>
      </c>
      <c r="U20" s="37">
        <v>182.09</v>
      </c>
      <c r="V20" s="37">
        <v>181.91200000000001</v>
      </c>
      <c r="W20" s="37">
        <v>181.93</v>
      </c>
      <c r="X20" s="37">
        <v>181.84299999999999</v>
      </c>
      <c r="Y20" s="37">
        <v>181.738</v>
      </c>
      <c r="Z20" s="37">
        <v>181.69499999999999</v>
      </c>
      <c r="AA20" s="45">
        <v>181.572</v>
      </c>
      <c r="AB20" s="45">
        <v>181.489</v>
      </c>
      <c r="AC20" s="45">
        <v>181.38800000000001</v>
      </c>
      <c r="AD20" s="65">
        <v>181.28100000000001</v>
      </c>
      <c r="AE20" s="65">
        <v>181.184</v>
      </c>
      <c r="AF20" s="58">
        <f t="shared" si="16"/>
        <v>-5.1000000000016144E-2</v>
      </c>
      <c r="AG20" s="17">
        <f t="shared" si="17"/>
        <v>-0.1810000000000116</v>
      </c>
      <c r="AH20" s="19">
        <f t="shared" si="9"/>
        <v>-0.11499999999998067</v>
      </c>
      <c r="AI20" s="39">
        <f t="shared" si="10"/>
        <v>-0.22400000000001796</v>
      </c>
      <c r="AJ20" s="39">
        <f t="shared" si="11"/>
        <v>-0.21099999999998431</v>
      </c>
      <c r="AK20" s="39">
        <f t="shared" si="12"/>
        <v>-0.15999999999999659</v>
      </c>
      <c r="AL20" s="39">
        <f t="shared" si="0"/>
        <v>-0.19200000000000728</v>
      </c>
      <c r="AM20" s="39">
        <f t="shared" si="21"/>
        <v>-0.16599999999999682</v>
      </c>
      <c r="AN20" s="45">
        <f t="shared" si="22"/>
        <v>-8.2999999999998408E-2</v>
      </c>
      <c r="AO20" s="51">
        <f t="shared" si="23"/>
        <v>-0.20799999999999841</v>
      </c>
      <c r="AP20" s="51">
        <f t="shared" si="24"/>
        <v>-0.14463636363636437</v>
      </c>
      <c r="AQ20" s="31">
        <f t="shared" si="18"/>
        <v>-0.15900000000002024</v>
      </c>
      <c r="AR20" s="19">
        <f t="shared" si="19"/>
        <v>-0.23799999999999955</v>
      </c>
      <c r="AS20" s="39">
        <f t="shared" si="13"/>
        <v>-0.10499999999998977</v>
      </c>
      <c r="AT20" s="39">
        <f t="shared" si="14"/>
        <v>-0.20099999999999341</v>
      </c>
      <c r="AU20" s="39">
        <f t="shared" si="20"/>
        <v>-0.28000000000000114</v>
      </c>
      <c r="AV20" s="39">
        <f t="shared" si="15"/>
        <v>-6.9000000000016826E-2</v>
      </c>
      <c r="AW20" s="39">
        <f t="shared" si="2"/>
        <v>-0.14799999999999613</v>
      </c>
      <c r="AX20" s="39">
        <f t="shared" si="25"/>
        <v>-0.15349999999999397</v>
      </c>
      <c r="AY20" s="39">
        <f t="shared" si="26"/>
        <v>-0.20400000000000773</v>
      </c>
      <c r="AZ20" s="39">
        <f t="shared" si="27"/>
        <v>-0.17110000000000128</v>
      </c>
    </row>
    <row r="21" spans="1:52" x14ac:dyDescent="0.3">
      <c r="A21" s="82">
        <v>128</v>
      </c>
      <c r="B21" s="83">
        <v>2114491.8930000002</v>
      </c>
      <c r="C21" s="83">
        <v>6074855.6409999998</v>
      </c>
      <c r="D21" s="83">
        <v>619.26</v>
      </c>
      <c r="E21" s="96" t="s">
        <v>9</v>
      </c>
      <c r="F21" s="81">
        <v>2011</v>
      </c>
      <c r="G21" s="37">
        <v>619.25699999999995</v>
      </c>
      <c r="H21" s="81">
        <v>2012</v>
      </c>
      <c r="I21" s="37">
        <v>619.26</v>
      </c>
      <c r="J21" s="81">
        <v>2022</v>
      </c>
      <c r="K21" s="58">
        <v>619.25699999999995</v>
      </c>
      <c r="L21" s="17">
        <v>619.26</v>
      </c>
      <c r="M21" s="17">
        <v>619.26</v>
      </c>
      <c r="N21" s="17">
        <v>619.26</v>
      </c>
      <c r="O21" s="17">
        <v>619.26</v>
      </c>
      <c r="P21" s="17">
        <v>619.26</v>
      </c>
      <c r="Q21" s="17">
        <v>619.29999999999995</v>
      </c>
      <c r="R21" s="37">
        <v>619.29999999999995</v>
      </c>
      <c r="S21" s="17">
        <v>619.26</v>
      </c>
      <c r="T21" s="37">
        <v>619.26</v>
      </c>
      <c r="U21" s="45">
        <v>619.26</v>
      </c>
      <c r="V21" s="37">
        <v>619.26</v>
      </c>
      <c r="W21" s="37">
        <v>619.26</v>
      </c>
      <c r="X21" s="37">
        <v>619.26</v>
      </c>
      <c r="Y21" s="37">
        <v>619.26</v>
      </c>
      <c r="Z21" s="37">
        <v>619.26</v>
      </c>
      <c r="AA21" s="45">
        <v>619.26</v>
      </c>
      <c r="AB21" s="45">
        <v>619.26</v>
      </c>
      <c r="AC21" s="45">
        <v>619.26</v>
      </c>
      <c r="AD21" s="65">
        <v>619.26</v>
      </c>
      <c r="AE21" s="65">
        <v>619.29999999999995</v>
      </c>
      <c r="AF21" s="58">
        <f t="shared" si="16"/>
        <v>3.0000000000427463E-3</v>
      </c>
      <c r="AG21" s="17">
        <f t="shared" si="17"/>
        <v>0</v>
      </c>
      <c r="AH21" s="19">
        <f t="shared" si="9"/>
        <v>3.999999999996362E-2</v>
      </c>
      <c r="AI21" s="39">
        <f t="shared" si="10"/>
        <v>-3.999999999996362E-2</v>
      </c>
      <c r="AJ21" s="39">
        <f t="shared" si="11"/>
        <v>0</v>
      </c>
      <c r="AK21" s="39">
        <f t="shared" si="12"/>
        <v>0</v>
      </c>
      <c r="AL21" s="39">
        <f t="shared" si="0"/>
        <v>0</v>
      </c>
      <c r="AM21" s="39">
        <f t="shared" si="21"/>
        <v>0</v>
      </c>
      <c r="AN21" s="45">
        <f t="shared" si="22"/>
        <v>0</v>
      </c>
      <c r="AO21" s="51">
        <f t="shared" si="23"/>
        <v>0</v>
      </c>
      <c r="AP21" s="51">
        <f t="shared" si="24"/>
        <v>2.7272727273115874E-4</v>
      </c>
      <c r="AQ21" s="31">
        <f t="shared" si="18"/>
        <v>0</v>
      </c>
      <c r="AR21" s="19">
        <f t="shared" si="19"/>
        <v>0</v>
      </c>
      <c r="AS21" s="39">
        <f t="shared" si="13"/>
        <v>3.999999999996362E-2</v>
      </c>
      <c r="AT21" s="39">
        <f t="shared" si="14"/>
        <v>-3.999999999996362E-2</v>
      </c>
      <c r="AU21" s="39">
        <f t="shared" si="20"/>
        <v>0</v>
      </c>
      <c r="AV21" s="39">
        <f t="shared" si="15"/>
        <v>0</v>
      </c>
      <c r="AW21" s="39">
        <f t="shared" si="2"/>
        <v>0</v>
      </c>
      <c r="AX21" s="39">
        <f t="shared" si="25"/>
        <v>0</v>
      </c>
      <c r="AY21" s="39">
        <f t="shared" si="26"/>
        <v>3.999999999996362E-2</v>
      </c>
      <c r="AZ21" s="39">
        <f t="shared" si="27"/>
        <v>3.9999999999963624E-3</v>
      </c>
    </row>
    <row r="22" spans="1:52" x14ac:dyDescent="0.3">
      <c r="A22" s="3">
        <v>129</v>
      </c>
      <c r="B22" s="37">
        <v>2198475.3659999999</v>
      </c>
      <c r="C22" s="37">
        <v>6133714.0959999999</v>
      </c>
      <c r="D22" s="37">
        <v>144.77600000000001</v>
      </c>
      <c r="E22" s="161" t="s">
        <v>10</v>
      </c>
      <c r="F22" s="81">
        <v>2011</v>
      </c>
      <c r="G22" s="37">
        <v>146.36099999999999</v>
      </c>
      <c r="H22" s="81">
        <v>2012</v>
      </c>
      <c r="I22" s="37">
        <v>146.28</v>
      </c>
      <c r="J22" s="81">
        <v>2022</v>
      </c>
      <c r="K22" s="58">
        <v>146.36099999999999</v>
      </c>
      <c r="L22" s="17">
        <v>146.28</v>
      </c>
      <c r="M22" s="17">
        <v>146.29300000000001</v>
      </c>
      <c r="N22" s="17">
        <v>146.18199999999999</v>
      </c>
      <c r="O22" s="17">
        <v>146.07</v>
      </c>
      <c r="P22" s="17">
        <v>145.96199999999999</v>
      </c>
      <c r="Q22" s="17">
        <v>145.98500000000001</v>
      </c>
      <c r="R22" s="37">
        <v>145.77199999999999</v>
      </c>
      <c r="S22" s="17">
        <v>145.715</v>
      </c>
      <c r="T22" s="37">
        <v>145.57499999999999</v>
      </c>
      <c r="U22" s="37">
        <v>145.43700000000001</v>
      </c>
      <c r="V22" s="37">
        <v>145.422</v>
      </c>
      <c r="W22" s="37">
        <v>145.41999999999999</v>
      </c>
      <c r="X22" s="37">
        <v>145.35400000000001</v>
      </c>
      <c r="Y22" s="37">
        <v>145.28399999999999</v>
      </c>
      <c r="Z22" s="37">
        <v>145.19399999999999</v>
      </c>
      <c r="AA22" s="45">
        <v>145.11699999999999</v>
      </c>
      <c r="AB22" s="45">
        <v>144.95500000000001</v>
      </c>
      <c r="AC22" s="45">
        <v>144.85</v>
      </c>
      <c r="AD22" s="65">
        <v>144.77600000000001</v>
      </c>
      <c r="AE22" s="65">
        <v>144.672</v>
      </c>
      <c r="AF22" s="58">
        <f t="shared" si="16"/>
        <v>-6.7999999999983629E-2</v>
      </c>
      <c r="AG22" s="17">
        <f t="shared" si="17"/>
        <v>-0.22300000000001319</v>
      </c>
      <c r="AH22" s="19">
        <f t="shared" si="9"/>
        <v>-8.4999999999979536E-2</v>
      </c>
      <c r="AI22" s="39">
        <f t="shared" si="10"/>
        <v>-0.27000000000001023</v>
      </c>
      <c r="AJ22" s="39">
        <f t="shared" si="11"/>
        <v>-0.27799999999999159</v>
      </c>
      <c r="AK22" s="39">
        <f t="shared" si="12"/>
        <v>-1.7000000000024329E-2</v>
      </c>
      <c r="AL22" s="39">
        <f t="shared" si="0"/>
        <v>-0.13599999999999568</v>
      </c>
      <c r="AM22" s="39">
        <f t="shared" si="21"/>
        <v>-0.16700000000000159</v>
      </c>
      <c r="AN22" s="45">
        <f t="shared" si="22"/>
        <v>-0.16199999999997772</v>
      </c>
      <c r="AO22" s="51">
        <f t="shared" si="23"/>
        <v>-0.17900000000000205</v>
      </c>
      <c r="AP22" s="51">
        <f t="shared" si="24"/>
        <v>-0.14409090909090724</v>
      </c>
      <c r="AQ22" s="31">
        <f t="shared" si="18"/>
        <v>-9.8000000000013188E-2</v>
      </c>
      <c r="AR22" s="19">
        <f t="shared" si="19"/>
        <v>-0.21999999999999886</v>
      </c>
      <c r="AS22" s="39">
        <f t="shared" si="13"/>
        <v>-0.18999999999999773</v>
      </c>
      <c r="AT22" s="39">
        <f t="shared" si="14"/>
        <v>-0.19700000000000273</v>
      </c>
      <c r="AU22" s="39">
        <f t="shared" si="20"/>
        <v>-0.15299999999999159</v>
      </c>
      <c r="AV22" s="39">
        <f t="shared" si="15"/>
        <v>-6.7999999999983629E-2</v>
      </c>
      <c r="AW22" s="39">
        <f t="shared" si="2"/>
        <v>-0.16000000000002501</v>
      </c>
      <c r="AX22" s="39">
        <f t="shared" si="25"/>
        <v>-0.17199999999999704</v>
      </c>
      <c r="AY22" s="39">
        <f t="shared" si="26"/>
        <v>-0.17799999999999727</v>
      </c>
      <c r="AZ22" s="39">
        <f t="shared" si="27"/>
        <v>-0.16080000000000041</v>
      </c>
    </row>
    <row r="23" spans="1:52" x14ac:dyDescent="0.3">
      <c r="A23" s="3">
        <v>130</v>
      </c>
      <c r="B23" s="37">
        <v>2365903.8390000002</v>
      </c>
      <c r="C23" s="37">
        <v>6000988.7199999997</v>
      </c>
      <c r="D23" s="37">
        <v>72.926000000000002</v>
      </c>
      <c r="E23" s="161" t="s">
        <v>11</v>
      </c>
      <c r="F23" s="81">
        <v>2011</v>
      </c>
      <c r="G23" s="37">
        <v>73.305000000000007</v>
      </c>
      <c r="H23" s="81">
        <v>2012</v>
      </c>
      <c r="I23" s="37">
        <v>73.260999999999996</v>
      </c>
      <c r="J23" s="81">
        <v>2022</v>
      </c>
      <c r="K23" s="58">
        <v>73.305000000000007</v>
      </c>
      <c r="L23" s="17">
        <v>73.260999999999996</v>
      </c>
      <c r="M23" s="17">
        <v>73.251000000000005</v>
      </c>
      <c r="N23" s="17">
        <v>73.168000000000006</v>
      </c>
      <c r="O23" s="17">
        <v>73.05</v>
      </c>
      <c r="P23" s="17">
        <v>73.331000000000003</v>
      </c>
      <c r="Q23" s="17">
        <v>73.207999999999998</v>
      </c>
      <c r="R23" s="37">
        <v>73.128</v>
      </c>
      <c r="S23" s="17">
        <v>73.075999999999993</v>
      </c>
      <c r="T23" s="37">
        <v>73.138999999999996</v>
      </c>
      <c r="U23" s="37">
        <v>73.162999999999997</v>
      </c>
      <c r="V23" s="37">
        <v>73.290000000000006</v>
      </c>
      <c r="W23" s="37">
        <v>73.14</v>
      </c>
      <c r="X23" s="37">
        <v>72.971000000000004</v>
      </c>
      <c r="Y23" s="37">
        <v>73.171000000000006</v>
      </c>
      <c r="Z23" s="37">
        <v>73.195999999999998</v>
      </c>
      <c r="AA23" s="45">
        <v>73.263000000000005</v>
      </c>
      <c r="AB23" s="45">
        <v>73.052000000000007</v>
      </c>
      <c r="AC23" s="45">
        <v>73.034000000000006</v>
      </c>
      <c r="AD23" s="65">
        <v>72.926000000000002</v>
      </c>
      <c r="AE23" s="65">
        <v>72.968999999999994</v>
      </c>
      <c r="AF23" s="58">
        <f t="shared" si="16"/>
        <v>-5.4000000000002046E-2</v>
      </c>
      <c r="AG23" s="17">
        <f t="shared" si="17"/>
        <v>-0.20100000000000762</v>
      </c>
      <c r="AH23" s="19">
        <f t="shared" si="9"/>
        <v>0.15800000000000125</v>
      </c>
      <c r="AI23" s="39">
        <f t="shared" si="10"/>
        <v>-0.132000000000005</v>
      </c>
      <c r="AJ23" s="39">
        <f t="shared" si="11"/>
        <v>8.7000000000003297E-2</v>
      </c>
      <c r="AK23" s="39">
        <f t="shared" si="12"/>
        <v>-2.2999999999996135E-2</v>
      </c>
      <c r="AL23" s="39">
        <f t="shared" si="0"/>
        <v>3.1000000000005912E-2</v>
      </c>
      <c r="AM23" s="39">
        <f t="shared" si="21"/>
        <v>9.1999999999998749E-2</v>
      </c>
      <c r="AN23" s="45">
        <f t="shared" si="22"/>
        <v>-0.21099999999999852</v>
      </c>
      <c r="AO23" s="51">
        <f t="shared" si="23"/>
        <v>-0.12600000000000477</v>
      </c>
      <c r="AP23" s="51">
        <f t="shared" si="24"/>
        <v>-3.4454545454545897E-2</v>
      </c>
      <c r="AQ23" s="31">
        <f t="shared" si="18"/>
        <v>-9.2999999999989313E-2</v>
      </c>
      <c r="AR23" s="19">
        <f t="shared" si="19"/>
        <v>0.1629999999999967</v>
      </c>
      <c r="AS23" s="39">
        <f t="shared" si="13"/>
        <v>-0.20300000000000296</v>
      </c>
      <c r="AT23" s="39">
        <f t="shared" si="14"/>
        <v>1.099999999999568E-2</v>
      </c>
      <c r="AU23" s="39">
        <f t="shared" si="20"/>
        <v>0.15100000000001046</v>
      </c>
      <c r="AV23" s="39">
        <f t="shared" si="15"/>
        <v>-0.31900000000000261</v>
      </c>
      <c r="AW23" s="39">
        <f t="shared" si="2"/>
        <v>0.22499999999999432</v>
      </c>
      <c r="AX23" s="39">
        <f t="shared" si="25"/>
        <v>-8.0999999999995964E-2</v>
      </c>
      <c r="AY23" s="39">
        <f t="shared" si="26"/>
        <v>-6.5000000000011937E-2</v>
      </c>
      <c r="AZ23" s="39">
        <f t="shared" si="27"/>
        <v>-2.920000000000016E-2</v>
      </c>
    </row>
    <row r="24" spans="1:52" x14ac:dyDescent="0.3">
      <c r="A24" s="3">
        <v>131</v>
      </c>
      <c r="B24" s="37">
        <v>2332746.3739999998</v>
      </c>
      <c r="C24" s="37">
        <v>6191751.9720000001</v>
      </c>
      <c r="D24" s="37">
        <v>242.958</v>
      </c>
      <c r="E24" s="161" t="s">
        <v>116</v>
      </c>
      <c r="F24" s="81">
        <v>2011</v>
      </c>
      <c r="G24" s="37">
        <v>243.12100000000001</v>
      </c>
      <c r="H24" s="81">
        <v>2012</v>
      </c>
      <c r="I24" s="37">
        <v>243.12100000000001</v>
      </c>
      <c r="J24" s="81">
        <v>2022</v>
      </c>
      <c r="K24" s="58">
        <v>243.12100000000001</v>
      </c>
      <c r="L24" s="17">
        <v>243.12100000000001</v>
      </c>
      <c r="M24" s="17">
        <v>243.142</v>
      </c>
      <c r="N24" s="17">
        <v>243.167</v>
      </c>
      <c r="O24" s="17">
        <v>243.09</v>
      </c>
      <c r="P24" s="17">
        <v>243.10499999999999</v>
      </c>
      <c r="Q24" s="17">
        <v>243.072</v>
      </c>
      <c r="R24" s="37">
        <v>242.93</v>
      </c>
      <c r="S24" s="17">
        <v>242.84700000000001</v>
      </c>
      <c r="T24" s="37">
        <v>242.97800000000001</v>
      </c>
      <c r="U24" s="37">
        <v>242.88499999999999</v>
      </c>
      <c r="V24" s="37">
        <v>242.96899999999999</v>
      </c>
      <c r="W24" s="37">
        <v>242.93</v>
      </c>
      <c r="X24" s="37">
        <v>243.00800000000001</v>
      </c>
      <c r="Y24" s="37">
        <v>242.82599999999999</v>
      </c>
      <c r="Z24" s="37">
        <v>242.97499999999999</v>
      </c>
      <c r="AA24" s="45">
        <v>242.98500000000001</v>
      </c>
      <c r="AB24" s="45">
        <v>242.881</v>
      </c>
      <c r="AC24" s="45">
        <v>242.77099999999999</v>
      </c>
      <c r="AD24" s="65">
        <v>242.958</v>
      </c>
      <c r="AE24" s="65">
        <v>242.654</v>
      </c>
      <c r="AF24" s="58">
        <f t="shared" si="16"/>
        <v>2.0999999999986585E-2</v>
      </c>
      <c r="AG24" s="17">
        <f t="shared" si="17"/>
        <v>-5.1999999999992497E-2</v>
      </c>
      <c r="AH24" s="19">
        <f t="shared" si="9"/>
        <v>-1.8000000000000682E-2</v>
      </c>
      <c r="AI24" s="39">
        <f t="shared" si="10"/>
        <v>-0.22499999999999432</v>
      </c>
      <c r="AJ24" s="39">
        <f t="shared" si="11"/>
        <v>3.7999999999982492E-2</v>
      </c>
      <c r="AK24" s="39">
        <f t="shared" si="12"/>
        <v>4.5000000000015916E-2</v>
      </c>
      <c r="AL24" s="39">
        <f t="shared" si="0"/>
        <v>-0.10400000000001342</v>
      </c>
      <c r="AM24" s="39">
        <f t="shared" si="21"/>
        <v>0.15900000000002024</v>
      </c>
      <c r="AN24" s="45">
        <f t="shared" si="22"/>
        <v>-0.10400000000001342</v>
      </c>
      <c r="AO24" s="51">
        <f t="shared" si="23"/>
        <v>7.6999999999998181E-2</v>
      </c>
      <c r="AP24" s="51">
        <f t="shared" si="24"/>
        <v>-1.4818181818182811E-2</v>
      </c>
      <c r="AQ24" s="31">
        <f t="shared" si="18"/>
        <v>4.5999999999992269E-2</v>
      </c>
      <c r="AR24" s="19">
        <f t="shared" si="19"/>
        <v>-6.2000000000011823E-2</v>
      </c>
      <c r="AS24" s="39">
        <f t="shared" si="13"/>
        <v>-0.17499999999998295</v>
      </c>
      <c r="AT24" s="39">
        <f t="shared" si="14"/>
        <v>4.8000000000001819E-2</v>
      </c>
      <c r="AU24" s="39">
        <f t="shared" si="20"/>
        <v>-9.0000000000145519E-3</v>
      </c>
      <c r="AV24" s="39">
        <f t="shared" si="15"/>
        <v>3.9000000000015689E-2</v>
      </c>
      <c r="AW24" s="39">
        <f t="shared" si="2"/>
        <v>-3.3000000000015461E-2</v>
      </c>
      <c r="AX24" s="39">
        <f t="shared" si="25"/>
        <v>-0.10200000000000387</v>
      </c>
      <c r="AY24" s="39">
        <f t="shared" si="26"/>
        <v>-0.11699999999999022</v>
      </c>
      <c r="AZ24" s="39">
        <f t="shared" si="27"/>
        <v>-4.6700000000001296E-2</v>
      </c>
    </row>
    <row r="25" spans="1:52" s="35" customFormat="1" x14ac:dyDescent="0.3">
      <c r="A25" s="49">
        <v>132</v>
      </c>
      <c r="B25" s="142" t="s">
        <v>103</v>
      </c>
      <c r="C25" s="142"/>
      <c r="D25" s="142"/>
      <c r="E25" s="161" t="s">
        <v>108</v>
      </c>
      <c r="F25" s="81">
        <v>2011</v>
      </c>
      <c r="G25" s="37">
        <v>127.13800000000001</v>
      </c>
      <c r="H25" s="81">
        <v>2012</v>
      </c>
      <c r="I25" s="37">
        <v>126.861</v>
      </c>
      <c r="J25" s="81">
        <v>2022</v>
      </c>
      <c r="K25" s="58">
        <v>127.13800000000001</v>
      </c>
      <c r="L25" s="37">
        <v>126.861</v>
      </c>
      <c r="M25" s="37">
        <v>126.771</v>
      </c>
      <c r="N25" s="37">
        <v>126.303</v>
      </c>
      <c r="O25" s="37">
        <v>126.17</v>
      </c>
      <c r="P25" s="37">
        <v>125.839</v>
      </c>
      <c r="Q25" s="37">
        <v>125.732</v>
      </c>
      <c r="R25" s="37">
        <v>125.224</v>
      </c>
      <c r="S25" s="37">
        <v>125.057</v>
      </c>
      <c r="T25" s="37">
        <v>124.84699999999999</v>
      </c>
      <c r="U25" s="37">
        <v>124.64400000000001</v>
      </c>
      <c r="V25" s="37">
        <v>124.46</v>
      </c>
      <c r="W25" s="37">
        <v>124.4</v>
      </c>
      <c r="X25" s="72"/>
      <c r="Y25" s="72"/>
      <c r="Z25" s="72"/>
      <c r="AA25" s="72"/>
      <c r="AB25" s="72"/>
      <c r="AC25" s="76"/>
      <c r="AD25" s="94"/>
      <c r="AE25" s="87"/>
      <c r="AF25" s="58">
        <f t="shared" si="16"/>
        <v>-0.36700000000000443</v>
      </c>
      <c r="AG25" s="37">
        <f t="shared" si="17"/>
        <v>-0.60099999999999909</v>
      </c>
      <c r="AH25" s="39">
        <f t="shared" si="9"/>
        <v>-0.43800000000000239</v>
      </c>
      <c r="AI25" s="39">
        <f t="shared" si="10"/>
        <v>-0.67499999999999716</v>
      </c>
      <c r="AJ25" s="39">
        <f t="shared" si="11"/>
        <v>-0.4129999999999967</v>
      </c>
      <c r="AK25" s="39">
        <f t="shared" si="12"/>
        <v>-0.24399999999999977</v>
      </c>
      <c r="AL25" s="73"/>
      <c r="AM25" s="73"/>
      <c r="AN25" s="72"/>
      <c r="AO25" s="87"/>
      <c r="AP25" s="89"/>
      <c r="AQ25" s="31">
        <f t="shared" si="18"/>
        <v>-0.55800000000000693</v>
      </c>
      <c r="AR25" s="39">
        <f t="shared" si="19"/>
        <v>-0.46399999999999864</v>
      </c>
      <c r="AS25" s="39">
        <f t="shared" si="13"/>
        <v>-0.61499999999999488</v>
      </c>
      <c r="AT25" s="39">
        <f t="shared" si="14"/>
        <v>-0.37700000000000955</v>
      </c>
      <c r="AU25" s="39">
        <f t="shared" si="20"/>
        <v>-0.38700000000000045</v>
      </c>
      <c r="AV25" s="73" t="s">
        <v>99</v>
      </c>
      <c r="AW25" s="73" t="s">
        <v>99</v>
      </c>
      <c r="AX25" s="73"/>
      <c r="AY25" s="73"/>
      <c r="AZ25" s="73"/>
    </row>
    <row r="26" spans="1:52" x14ac:dyDescent="0.3">
      <c r="A26" s="28" t="s">
        <v>102</v>
      </c>
      <c r="B26" s="40">
        <v>2249261.1189999999</v>
      </c>
      <c r="C26" s="40">
        <v>6122672.2089999998</v>
      </c>
      <c r="D26" s="74">
        <v>126.42700000000001</v>
      </c>
      <c r="E26" s="161" t="s">
        <v>117</v>
      </c>
      <c r="F26" s="81">
        <v>2018</v>
      </c>
      <c r="G26" s="37">
        <v>127.02200000000001</v>
      </c>
      <c r="H26" s="81">
        <v>2019</v>
      </c>
      <c r="I26" s="37">
        <v>126.93899999999999</v>
      </c>
      <c r="J26" s="81">
        <v>2022</v>
      </c>
      <c r="K26" s="58" t="s">
        <v>99</v>
      </c>
      <c r="L26" s="17" t="s">
        <v>99</v>
      </c>
      <c r="M26" s="17" t="s">
        <v>99</v>
      </c>
      <c r="N26" s="17" t="s">
        <v>99</v>
      </c>
      <c r="O26" s="17" t="s">
        <v>99</v>
      </c>
      <c r="P26" s="17" t="s">
        <v>99</v>
      </c>
      <c r="Q26" s="17" t="s">
        <v>99</v>
      </c>
      <c r="R26" s="37" t="s">
        <v>99</v>
      </c>
      <c r="S26" s="17" t="s">
        <v>99</v>
      </c>
      <c r="T26" s="37" t="s">
        <v>99</v>
      </c>
      <c r="U26" s="37" t="s">
        <v>99</v>
      </c>
      <c r="V26" s="37" t="s">
        <v>99</v>
      </c>
      <c r="W26" s="37" t="s">
        <v>99</v>
      </c>
      <c r="X26" s="37" t="s">
        <v>99</v>
      </c>
      <c r="Y26" s="37">
        <v>127.02200000000001</v>
      </c>
      <c r="Z26" s="37">
        <v>126.93899999999999</v>
      </c>
      <c r="AA26" s="45">
        <v>126.866</v>
      </c>
      <c r="AB26" s="45">
        <v>126.651</v>
      </c>
      <c r="AC26" s="45">
        <v>126.518</v>
      </c>
      <c r="AD26" s="65">
        <v>126.42700000000001</v>
      </c>
      <c r="AE26" s="65">
        <v>126.253</v>
      </c>
      <c r="AF26" s="58" t="s">
        <v>99</v>
      </c>
      <c r="AG26" s="17" t="s">
        <v>99</v>
      </c>
      <c r="AH26" s="19" t="s">
        <v>99</v>
      </c>
      <c r="AI26" s="39" t="s">
        <v>99</v>
      </c>
      <c r="AJ26" s="39" t="s">
        <v>99</v>
      </c>
      <c r="AK26" s="39" t="s">
        <v>99</v>
      </c>
      <c r="AL26" s="39"/>
      <c r="AM26" s="39">
        <f>AA26-Y26</f>
        <v>-0.15600000000000591</v>
      </c>
      <c r="AN26" s="51">
        <f>AB26-AA26</f>
        <v>-0.21500000000000341</v>
      </c>
      <c r="AO26" s="51">
        <f t="shared" ref="AO26:AO27" si="28">AD26-AB26</f>
        <v>-0.22399999999998954</v>
      </c>
      <c r="AP26" s="53">
        <f t="shared" ref="AP26:AP27" si="29">(AD26-G26)/(J26-F26)</f>
        <v>-0.14874999999999972</v>
      </c>
      <c r="AQ26" s="31" t="s">
        <v>99</v>
      </c>
      <c r="AR26" s="19" t="s">
        <v>99</v>
      </c>
      <c r="AS26" s="39" t="s">
        <v>99</v>
      </c>
      <c r="AT26" s="39" t="s">
        <v>99</v>
      </c>
      <c r="AU26" s="39" t="s">
        <v>99</v>
      </c>
      <c r="AV26" s="39" t="s">
        <v>99</v>
      </c>
      <c r="AW26" s="39" t="s">
        <v>99</v>
      </c>
      <c r="AX26" s="39">
        <f>(AC26-Z26)/2</f>
        <v>-0.21049999999999613</v>
      </c>
      <c r="AY26" s="39">
        <f t="shared" ref="AY26:AY27" si="30">AE26-AC26</f>
        <v>-0.26500000000000057</v>
      </c>
      <c r="AZ26" s="38">
        <f t="shared" ref="AZ26:AZ27" si="31">(AE26-$I26)/(2022-$H26)</f>
        <v>-0.22866666666666427</v>
      </c>
    </row>
    <row r="27" spans="1:52" x14ac:dyDescent="0.3">
      <c r="A27" s="3">
        <v>133</v>
      </c>
      <c r="B27" s="37">
        <v>2273311.3879999998</v>
      </c>
      <c r="C27" s="70">
        <v>6111332.1919999998</v>
      </c>
      <c r="D27" s="37">
        <v>118.553</v>
      </c>
      <c r="E27" s="161" t="s">
        <v>12</v>
      </c>
      <c r="F27" s="81">
        <v>2011</v>
      </c>
      <c r="G27" s="37">
        <v>122.277</v>
      </c>
      <c r="H27" s="81">
        <v>2012</v>
      </c>
      <c r="I27" s="37">
        <v>122.158</v>
      </c>
      <c r="J27" s="81">
        <v>2022</v>
      </c>
      <c r="K27" s="58">
        <v>122.277</v>
      </c>
      <c r="L27" s="17">
        <v>122.158</v>
      </c>
      <c r="M27" s="17">
        <v>121.943</v>
      </c>
      <c r="N27" s="17">
        <v>121.664</v>
      </c>
      <c r="O27" s="17">
        <v>121.33</v>
      </c>
      <c r="P27" s="17">
        <v>121.255</v>
      </c>
      <c r="Q27" s="17">
        <v>121.07</v>
      </c>
      <c r="R27" s="37">
        <v>120.70399999999999</v>
      </c>
      <c r="S27" s="17">
        <v>120.44</v>
      </c>
      <c r="T27" s="37">
        <v>120.389</v>
      </c>
      <c r="U27" s="37">
        <v>120</v>
      </c>
      <c r="V27" s="37">
        <v>119.905</v>
      </c>
      <c r="W27" s="37">
        <v>119.82</v>
      </c>
      <c r="X27" s="37">
        <v>119.58199999999999</v>
      </c>
      <c r="Y27" s="37">
        <v>119.517</v>
      </c>
      <c r="Z27" s="37">
        <v>119.389</v>
      </c>
      <c r="AA27" s="45">
        <v>119.27800000000001</v>
      </c>
      <c r="AB27" s="45">
        <v>118.884</v>
      </c>
      <c r="AC27" s="45">
        <v>118.702</v>
      </c>
      <c r="AD27" s="90">
        <v>118.553</v>
      </c>
      <c r="AE27" s="90">
        <v>118.289</v>
      </c>
      <c r="AF27" s="58">
        <f t="shared" ref="AF27:AF35" si="32">M27-K27</f>
        <v>-0.33400000000000318</v>
      </c>
      <c r="AG27" s="17">
        <f t="shared" ref="AG27:AG35" si="33">O27-M27</f>
        <v>-0.61299999999999955</v>
      </c>
      <c r="AH27" s="19">
        <f t="shared" ref="AH27:AH52" si="34">Q27-O27</f>
        <v>-0.26000000000000512</v>
      </c>
      <c r="AI27" s="39">
        <f t="shared" ref="AI27:AI52" si="35">S27-Q27</f>
        <v>-0.62999999999999545</v>
      </c>
      <c r="AJ27" s="39">
        <f t="shared" ref="AJ27:AJ52" si="36">U27-S27</f>
        <v>-0.43999999999999773</v>
      </c>
      <c r="AK27" s="39">
        <f>W27-U27</f>
        <v>-0.18000000000000682</v>
      </c>
      <c r="AL27" s="39">
        <f>Y27-W27</f>
        <v>-0.30299999999999727</v>
      </c>
      <c r="AM27" s="39">
        <f>AA27-Y27</f>
        <v>-0.23899999999999011</v>
      </c>
      <c r="AN27" s="45">
        <f>AB27-AA27</f>
        <v>-0.39400000000000546</v>
      </c>
      <c r="AO27" s="51">
        <f t="shared" si="28"/>
        <v>-0.33100000000000307</v>
      </c>
      <c r="AP27" s="51">
        <f t="shared" si="29"/>
        <v>-0.33854545454545487</v>
      </c>
      <c r="AQ27" s="31">
        <f t="shared" ref="AQ27:AQ35" si="37">N27-L27</f>
        <v>-0.49399999999999977</v>
      </c>
      <c r="AR27" s="19">
        <f t="shared" ref="AR27:AR35" si="38">P27-N27</f>
        <v>-0.40900000000000603</v>
      </c>
      <c r="AS27" s="39">
        <f t="shared" ref="AS27:AS52" si="39">R27-P27</f>
        <v>-0.55100000000000193</v>
      </c>
      <c r="AT27" s="39">
        <f t="shared" ref="AT27:AT52" si="40">T27-R27</f>
        <v>-0.31499999999999773</v>
      </c>
      <c r="AU27" s="39">
        <f>V27-T27</f>
        <v>-0.48399999999999466</v>
      </c>
      <c r="AV27" s="39">
        <f>X27-V27</f>
        <v>-0.3230000000000075</v>
      </c>
      <c r="AW27" s="39">
        <f>Z27-X27</f>
        <v>-0.19299999999999784</v>
      </c>
      <c r="AX27" s="39">
        <f>(AC27-Z27)/2</f>
        <v>-0.34349999999999881</v>
      </c>
      <c r="AY27" s="39">
        <f t="shared" si="30"/>
        <v>-0.4129999999999967</v>
      </c>
      <c r="AZ27" s="39">
        <f t="shared" si="31"/>
        <v>-0.38689999999999997</v>
      </c>
    </row>
    <row r="28" spans="1:52" x14ac:dyDescent="0.3">
      <c r="A28" s="49">
        <v>134</v>
      </c>
      <c r="B28" s="142" t="s">
        <v>103</v>
      </c>
      <c r="C28" s="142"/>
      <c r="D28" s="143"/>
      <c r="E28" s="161" t="s">
        <v>97</v>
      </c>
      <c r="F28" s="81">
        <v>2011</v>
      </c>
      <c r="G28" s="37">
        <v>289.99900000000002</v>
      </c>
      <c r="H28" s="81">
        <v>2012</v>
      </c>
      <c r="I28" s="37">
        <v>289.94099999999997</v>
      </c>
      <c r="J28" s="81">
        <v>2022</v>
      </c>
      <c r="K28" s="58">
        <v>289.99900000000002</v>
      </c>
      <c r="L28" s="17">
        <v>289.94099999999997</v>
      </c>
      <c r="M28" s="17">
        <v>289.92399999999998</v>
      </c>
      <c r="N28" s="17">
        <v>289.839</v>
      </c>
      <c r="O28" s="17">
        <v>289.92</v>
      </c>
      <c r="P28" s="17">
        <v>290.01799999999997</v>
      </c>
      <c r="Q28" s="17">
        <v>289.964</v>
      </c>
      <c r="R28" s="37">
        <v>289.887</v>
      </c>
      <c r="S28" s="17">
        <v>289.98599999999999</v>
      </c>
      <c r="T28" s="37">
        <v>289.89999999999998</v>
      </c>
      <c r="U28" s="37">
        <v>289.90300000000002</v>
      </c>
      <c r="V28" s="37">
        <v>288.87900000000002</v>
      </c>
      <c r="W28" s="72"/>
      <c r="X28" s="72"/>
      <c r="Y28" s="72"/>
      <c r="Z28" s="72"/>
      <c r="AA28" s="72"/>
      <c r="AB28" s="72"/>
      <c r="AC28" s="76"/>
      <c r="AD28" s="94"/>
      <c r="AE28" s="87"/>
      <c r="AF28" s="58">
        <f t="shared" si="32"/>
        <v>-7.5000000000045475E-2</v>
      </c>
      <c r="AG28" s="17">
        <f t="shared" si="33"/>
        <v>-3.999999999962256E-3</v>
      </c>
      <c r="AH28" s="19">
        <f t="shared" si="34"/>
        <v>4.399999999998272E-2</v>
      </c>
      <c r="AI28" s="39">
        <f t="shared" si="35"/>
        <v>2.199999999999136E-2</v>
      </c>
      <c r="AJ28" s="39">
        <f t="shared" si="36"/>
        <v>-8.2999999999969987E-2</v>
      </c>
      <c r="AK28" s="73" t="s">
        <v>99</v>
      </c>
      <c r="AL28" s="73"/>
      <c r="AM28" s="73"/>
      <c r="AN28" s="72"/>
      <c r="AO28" s="87"/>
      <c r="AP28" s="89"/>
      <c r="AQ28" s="31">
        <f t="shared" si="37"/>
        <v>-0.10199999999997544</v>
      </c>
      <c r="AR28" s="19">
        <f t="shared" si="38"/>
        <v>0.17899999999997362</v>
      </c>
      <c r="AS28" s="39">
        <f t="shared" si="39"/>
        <v>-0.13099999999997181</v>
      </c>
      <c r="AT28" s="39">
        <f t="shared" si="40"/>
        <v>1.2999999999976808E-2</v>
      </c>
      <c r="AU28" s="73"/>
      <c r="AV28" s="73"/>
      <c r="AW28" s="73" t="s">
        <v>99</v>
      </c>
      <c r="AX28" s="73"/>
      <c r="AY28" s="73"/>
      <c r="AZ28" s="73"/>
    </row>
    <row r="29" spans="1:52" x14ac:dyDescent="0.3">
      <c r="A29" s="3">
        <v>135</v>
      </c>
      <c r="B29" s="37">
        <v>2280213.4339999999</v>
      </c>
      <c r="C29" s="37">
        <v>6203601.949</v>
      </c>
      <c r="D29" s="37">
        <v>233.46199999999999</v>
      </c>
      <c r="E29" s="161" t="s">
        <v>49</v>
      </c>
      <c r="F29" s="81">
        <v>2011</v>
      </c>
      <c r="G29" s="37">
        <v>236.71799999999999</v>
      </c>
      <c r="H29" s="81">
        <v>2012</v>
      </c>
      <c r="I29" s="37">
        <v>236.596</v>
      </c>
      <c r="J29" s="81">
        <v>2022</v>
      </c>
      <c r="K29" s="58">
        <v>236.71799999999999</v>
      </c>
      <c r="L29" s="17">
        <v>236.596</v>
      </c>
      <c r="M29" s="17">
        <v>236.54300000000001</v>
      </c>
      <c r="N29" s="17">
        <v>236.38300000000001</v>
      </c>
      <c r="O29" s="17">
        <v>236.27</v>
      </c>
      <c r="P29" s="17">
        <v>235.85300000000001</v>
      </c>
      <c r="Q29" s="17">
        <v>235.74100000000001</v>
      </c>
      <c r="R29" s="37">
        <v>235.32599999999999</v>
      </c>
      <c r="S29" s="17">
        <v>235.1</v>
      </c>
      <c r="T29" s="37">
        <v>234.98699999999999</v>
      </c>
      <c r="U29" s="37">
        <v>234.84100000000001</v>
      </c>
      <c r="V29" s="37">
        <v>234.703</v>
      </c>
      <c r="W29" s="37">
        <v>234.65</v>
      </c>
      <c r="X29" s="37">
        <v>234.53299999999999</v>
      </c>
      <c r="Y29" s="37">
        <v>234.27600000000001</v>
      </c>
      <c r="Z29" s="37">
        <v>234.22200000000001</v>
      </c>
      <c r="AA29" s="45">
        <v>234.13300000000001</v>
      </c>
      <c r="AB29" s="45">
        <v>233.845</v>
      </c>
      <c r="AC29" s="45">
        <v>233.697</v>
      </c>
      <c r="AD29" s="90">
        <v>233.46199999999999</v>
      </c>
      <c r="AE29" s="90">
        <v>233.31700000000001</v>
      </c>
      <c r="AF29" s="58">
        <f t="shared" si="32"/>
        <v>-0.17499999999998295</v>
      </c>
      <c r="AG29" s="17">
        <f t="shared" si="33"/>
        <v>-0.27299999999999613</v>
      </c>
      <c r="AH29" s="19">
        <f t="shared" si="34"/>
        <v>-0.52899999999999636</v>
      </c>
      <c r="AI29" s="39">
        <f t="shared" si="35"/>
        <v>-0.64100000000001955</v>
      </c>
      <c r="AJ29" s="39">
        <f t="shared" si="36"/>
        <v>-0.25899999999998613</v>
      </c>
      <c r="AK29" s="39">
        <f>W29-U29</f>
        <v>-0.1910000000000025</v>
      </c>
      <c r="AL29" s="39">
        <f>Y29-W29</f>
        <v>-0.37399999999999523</v>
      </c>
      <c r="AM29" s="39">
        <f>AA29-Y29</f>
        <v>-0.14300000000000068</v>
      </c>
      <c r="AN29" s="45">
        <f>AB29-AA29</f>
        <v>-0.28800000000001091</v>
      </c>
      <c r="AO29" s="51">
        <f t="shared" ref="AO29:AO32" si="41">AD29-AB29</f>
        <v>-0.38300000000000978</v>
      </c>
      <c r="AP29" s="51">
        <f t="shared" ref="AP29:AP32" si="42">(AD29-G29)/(J29-F29)</f>
        <v>-0.29600000000000004</v>
      </c>
      <c r="AQ29" s="31">
        <f t="shared" si="37"/>
        <v>-0.21299999999999386</v>
      </c>
      <c r="AR29" s="19">
        <f t="shared" si="38"/>
        <v>-0.53000000000000114</v>
      </c>
      <c r="AS29" s="39">
        <f t="shared" si="39"/>
        <v>-0.52700000000001523</v>
      </c>
      <c r="AT29" s="39">
        <f t="shared" si="40"/>
        <v>-0.33899999999999864</v>
      </c>
      <c r="AU29" s="39">
        <f>V29-T29</f>
        <v>-0.28399999999999181</v>
      </c>
      <c r="AV29" s="39">
        <f>X29-V29</f>
        <v>-0.17000000000001592</v>
      </c>
      <c r="AW29" s="39">
        <f>Z29-X29</f>
        <v>-0.31099999999997863</v>
      </c>
      <c r="AX29" s="39">
        <f>(AC29-Z29)/2</f>
        <v>-0.26250000000000284</v>
      </c>
      <c r="AY29" s="39">
        <f t="shared" ref="AY29:AY32" si="43">AE29-AC29</f>
        <v>-0.37999999999999545</v>
      </c>
      <c r="AZ29" s="39">
        <f t="shared" ref="AZ29:AZ32" si="44">(AE29-$I29)/(2022-$H29)</f>
        <v>-0.32789999999999964</v>
      </c>
    </row>
    <row r="30" spans="1:52" x14ac:dyDescent="0.3">
      <c r="A30" s="3">
        <v>137</v>
      </c>
      <c r="B30" s="37">
        <v>2271706.4240000001</v>
      </c>
      <c r="C30" s="37">
        <v>6053044.1380000003</v>
      </c>
      <c r="D30" s="37">
        <v>99.870999999999995</v>
      </c>
      <c r="E30" s="161" t="s">
        <v>50</v>
      </c>
      <c r="F30" s="81">
        <v>2011</v>
      </c>
      <c r="G30" s="37">
        <v>101.04900000000001</v>
      </c>
      <c r="H30" s="81">
        <v>2012</v>
      </c>
      <c r="I30" s="37">
        <v>101.02800000000001</v>
      </c>
      <c r="J30" s="81">
        <v>2022</v>
      </c>
      <c r="K30" s="58">
        <v>101.04900000000001</v>
      </c>
      <c r="L30" s="17">
        <v>101.02800000000001</v>
      </c>
      <c r="M30" s="17">
        <v>100.96</v>
      </c>
      <c r="N30" s="17">
        <v>100.9</v>
      </c>
      <c r="O30" s="17">
        <v>100.87</v>
      </c>
      <c r="P30" s="17">
        <v>100.746</v>
      </c>
      <c r="Q30" s="17">
        <v>100.66800000000001</v>
      </c>
      <c r="R30" s="37">
        <v>100.64</v>
      </c>
      <c r="S30" s="17">
        <v>100.548</v>
      </c>
      <c r="T30" s="37">
        <v>100.467</v>
      </c>
      <c r="U30" s="37">
        <v>100.435</v>
      </c>
      <c r="V30" s="37">
        <v>100.42400000000001</v>
      </c>
      <c r="W30" s="37">
        <v>100.37</v>
      </c>
      <c r="X30" s="37">
        <v>100.265</v>
      </c>
      <c r="Y30" s="37">
        <v>100.288</v>
      </c>
      <c r="Z30" s="37">
        <v>100.211</v>
      </c>
      <c r="AA30" s="45">
        <v>100.197</v>
      </c>
      <c r="AB30" s="45">
        <v>100.078</v>
      </c>
      <c r="AC30" s="45">
        <v>99.927999999999997</v>
      </c>
      <c r="AD30" s="90">
        <v>99.870999999999995</v>
      </c>
      <c r="AE30" s="90">
        <v>99.811999999999998</v>
      </c>
      <c r="AF30" s="58">
        <f t="shared" si="32"/>
        <v>-8.9000000000012847E-2</v>
      </c>
      <c r="AG30" s="17">
        <f t="shared" si="33"/>
        <v>-8.99999999999892E-2</v>
      </c>
      <c r="AH30" s="19">
        <f t="shared" si="34"/>
        <v>-0.20199999999999818</v>
      </c>
      <c r="AI30" s="39">
        <f t="shared" si="35"/>
        <v>-0.12000000000000455</v>
      </c>
      <c r="AJ30" s="39">
        <f t="shared" si="36"/>
        <v>-0.11299999999999955</v>
      </c>
      <c r="AK30" s="39">
        <f>W30-U30</f>
        <v>-6.4999999999997726E-2</v>
      </c>
      <c r="AL30" s="39">
        <f>Y30-W30</f>
        <v>-8.2000000000007844E-2</v>
      </c>
      <c r="AM30" s="39">
        <f>AA30-Y30</f>
        <v>-9.0999999999993975E-2</v>
      </c>
      <c r="AN30" s="45">
        <f>AB30-AA30</f>
        <v>-0.11899999999999977</v>
      </c>
      <c r="AO30" s="51">
        <f t="shared" si="41"/>
        <v>-0.20700000000000784</v>
      </c>
      <c r="AP30" s="51">
        <f t="shared" si="42"/>
        <v>-0.10709090909091014</v>
      </c>
      <c r="AQ30" s="31">
        <f t="shared" si="37"/>
        <v>-0.12800000000000011</v>
      </c>
      <c r="AR30" s="19">
        <f t="shared" si="38"/>
        <v>-0.15400000000001057</v>
      </c>
      <c r="AS30" s="39">
        <f t="shared" si="39"/>
        <v>-0.10599999999999454</v>
      </c>
      <c r="AT30" s="39">
        <f t="shared" si="40"/>
        <v>-0.17300000000000182</v>
      </c>
      <c r="AU30" s="39">
        <f>V30-T30</f>
        <v>-4.2999999999992156E-2</v>
      </c>
      <c r="AV30" s="39">
        <f>X30-V30</f>
        <v>-0.15900000000000603</v>
      </c>
      <c r="AW30" s="39">
        <f>Z30-X30</f>
        <v>-5.4000000000002046E-2</v>
      </c>
      <c r="AX30" s="39">
        <f>(AC30-Z30)/2</f>
        <v>-0.14150000000000063</v>
      </c>
      <c r="AY30" s="39">
        <f t="shared" si="43"/>
        <v>-0.11599999999999966</v>
      </c>
      <c r="AZ30" s="39">
        <f t="shared" si="44"/>
        <v>-0.12160000000000082</v>
      </c>
    </row>
    <row r="31" spans="1:52" x14ac:dyDescent="0.3">
      <c r="A31" s="3">
        <v>138</v>
      </c>
      <c r="B31" s="37">
        <v>2423374.0159999998</v>
      </c>
      <c r="C31" s="37">
        <v>5929562.8339999998</v>
      </c>
      <c r="D31" s="37">
        <v>238.83600000000001</v>
      </c>
      <c r="E31" s="161" t="s">
        <v>13</v>
      </c>
      <c r="F31" s="81">
        <v>2011</v>
      </c>
      <c r="G31" s="37">
        <v>239.114</v>
      </c>
      <c r="H31" s="81">
        <v>2012</v>
      </c>
      <c r="I31" s="37">
        <v>239.11</v>
      </c>
      <c r="J31" s="81">
        <v>2022</v>
      </c>
      <c r="K31" s="58">
        <v>239.114</v>
      </c>
      <c r="L31" s="17">
        <v>239.11</v>
      </c>
      <c r="M31" s="17">
        <v>239.07400000000001</v>
      </c>
      <c r="N31" s="17">
        <v>239.006</v>
      </c>
      <c r="O31" s="17">
        <v>238.86</v>
      </c>
      <c r="P31" s="17">
        <v>239.268</v>
      </c>
      <c r="Q31" s="17">
        <v>239.10400000000001</v>
      </c>
      <c r="R31" s="37">
        <v>239.08500000000001</v>
      </c>
      <c r="S31" s="17">
        <v>238.96199999999999</v>
      </c>
      <c r="T31" s="37">
        <v>239.11799999999999</v>
      </c>
      <c r="U31" s="37">
        <v>239.06299999999999</v>
      </c>
      <c r="V31" s="37">
        <v>239.24</v>
      </c>
      <c r="W31" s="37">
        <v>238.97</v>
      </c>
      <c r="X31" s="37">
        <v>238.852</v>
      </c>
      <c r="Y31" s="37">
        <v>238.96700000000001</v>
      </c>
      <c r="Z31" s="37">
        <v>238.953</v>
      </c>
      <c r="AA31" s="45">
        <v>239.18199999999999</v>
      </c>
      <c r="AB31" s="45">
        <v>238.93700000000001</v>
      </c>
      <c r="AC31" s="45">
        <v>238.79</v>
      </c>
      <c r="AD31" s="90">
        <v>238.83600000000001</v>
      </c>
      <c r="AE31" s="90">
        <v>238.77099999999999</v>
      </c>
      <c r="AF31" s="58">
        <f t="shared" si="32"/>
        <v>-3.9999999999992042E-2</v>
      </c>
      <c r="AG31" s="17">
        <f t="shared" si="33"/>
        <v>-0.21399999999999864</v>
      </c>
      <c r="AH31" s="19">
        <f t="shared" si="34"/>
        <v>0.24399999999999977</v>
      </c>
      <c r="AI31" s="39">
        <f t="shared" si="35"/>
        <v>-0.14200000000002433</v>
      </c>
      <c r="AJ31" s="39">
        <f t="shared" si="36"/>
        <v>0.10099999999999909</v>
      </c>
      <c r="AK31" s="39">
        <f>W31-U31</f>
        <v>-9.2999999999989313E-2</v>
      </c>
      <c r="AL31" s="39">
        <f>Y31-W31</f>
        <v>-2.9999999999859028E-3</v>
      </c>
      <c r="AM31" s="39">
        <f>AA31-Y31</f>
        <v>0.21499999999997499</v>
      </c>
      <c r="AN31" s="45">
        <f>AB31-AA31</f>
        <v>-0.24499999999997613</v>
      </c>
      <c r="AO31" s="51">
        <f t="shared" si="41"/>
        <v>-0.10099999999999909</v>
      </c>
      <c r="AP31" s="51">
        <f t="shared" si="42"/>
        <v>-2.5272727272726506E-2</v>
      </c>
      <c r="AQ31" s="31">
        <f t="shared" si="37"/>
        <v>-0.10400000000001342</v>
      </c>
      <c r="AR31" s="19">
        <f t="shared" si="38"/>
        <v>0.26200000000000045</v>
      </c>
      <c r="AS31" s="39">
        <f t="shared" si="39"/>
        <v>-0.18299999999999272</v>
      </c>
      <c r="AT31" s="39">
        <f t="shared" si="40"/>
        <v>3.299999999998704E-2</v>
      </c>
      <c r="AU31" s="39">
        <f>V31-T31</f>
        <v>0.1220000000000141</v>
      </c>
      <c r="AV31" s="39">
        <f>X31-V31</f>
        <v>-0.38800000000000523</v>
      </c>
      <c r="AW31" s="39">
        <f>Z31-X31</f>
        <v>0.10099999999999909</v>
      </c>
      <c r="AX31" s="39">
        <f>(AC31-Z31)/2</f>
        <v>-8.1500000000005457E-2</v>
      </c>
      <c r="AY31" s="39">
        <f t="shared" si="43"/>
        <v>-1.9000000000005457E-2</v>
      </c>
      <c r="AZ31" s="39">
        <f t="shared" si="44"/>
        <v>-3.3900000000002706E-2</v>
      </c>
    </row>
    <row r="32" spans="1:52" x14ac:dyDescent="0.3">
      <c r="A32" s="3">
        <v>139</v>
      </c>
      <c r="B32" s="37">
        <v>2099649.6269999999</v>
      </c>
      <c r="C32" s="37">
        <v>6250235.0319999997</v>
      </c>
      <c r="D32" s="37">
        <v>184.96</v>
      </c>
      <c r="E32" s="161" t="s">
        <v>14</v>
      </c>
      <c r="F32" s="81">
        <v>2011</v>
      </c>
      <c r="G32" s="37">
        <v>186.98500000000001</v>
      </c>
      <c r="H32" s="81">
        <v>2012</v>
      </c>
      <c r="I32" s="37">
        <v>186.81399999999999</v>
      </c>
      <c r="J32" s="81">
        <v>2022</v>
      </c>
      <c r="K32" s="58">
        <v>186.98500000000001</v>
      </c>
      <c r="L32" s="17">
        <v>186.81399999999999</v>
      </c>
      <c r="M32" s="17">
        <v>186.88900000000001</v>
      </c>
      <c r="N32" s="17">
        <v>186.63900000000001</v>
      </c>
      <c r="O32" s="17">
        <v>186.56</v>
      </c>
      <c r="P32" s="17">
        <v>186.334</v>
      </c>
      <c r="Q32" s="17">
        <v>186.32400000000001</v>
      </c>
      <c r="R32" s="37">
        <v>186.083</v>
      </c>
      <c r="S32" s="17">
        <v>186.08799999999999</v>
      </c>
      <c r="T32" s="37">
        <v>185.74299999999999</v>
      </c>
      <c r="U32" s="37">
        <v>185.762</v>
      </c>
      <c r="V32" s="37">
        <v>185.631</v>
      </c>
      <c r="W32" s="37">
        <v>185.65</v>
      </c>
      <c r="X32" s="37">
        <v>185.59399999999999</v>
      </c>
      <c r="Y32" s="37">
        <v>185.554</v>
      </c>
      <c r="Z32" s="37">
        <v>185.405</v>
      </c>
      <c r="AA32" s="45">
        <v>185.31100000000001</v>
      </c>
      <c r="AB32" s="45">
        <v>185.23400000000001</v>
      </c>
      <c r="AC32" s="45">
        <v>185.22900000000001</v>
      </c>
      <c r="AD32" s="90">
        <v>184.96</v>
      </c>
      <c r="AE32" s="90">
        <v>184.87299999999999</v>
      </c>
      <c r="AF32" s="58">
        <f t="shared" si="32"/>
        <v>-9.6000000000003638E-2</v>
      </c>
      <c r="AG32" s="17">
        <f t="shared" si="33"/>
        <v>-0.32900000000000773</v>
      </c>
      <c r="AH32" s="19">
        <f t="shared" si="34"/>
        <v>-0.23599999999999</v>
      </c>
      <c r="AI32" s="39">
        <f t="shared" si="35"/>
        <v>-0.23600000000001842</v>
      </c>
      <c r="AJ32" s="39">
        <f t="shared" si="36"/>
        <v>-0.32599999999999341</v>
      </c>
      <c r="AK32" s="39">
        <f>W32-U32</f>
        <v>-0.11199999999999477</v>
      </c>
      <c r="AL32" s="39">
        <f>Y32-W32</f>
        <v>-9.6000000000003638E-2</v>
      </c>
      <c r="AM32" s="39">
        <f>AA32-Y32</f>
        <v>-0.242999999999995</v>
      </c>
      <c r="AN32" s="45">
        <f>AB32-AA32</f>
        <v>-7.6999999999998181E-2</v>
      </c>
      <c r="AO32" s="51">
        <f t="shared" si="41"/>
        <v>-0.27400000000000091</v>
      </c>
      <c r="AP32" s="51">
        <f t="shared" si="42"/>
        <v>-0.18409090909090961</v>
      </c>
      <c r="AQ32" s="31">
        <f t="shared" si="37"/>
        <v>-0.17499999999998295</v>
      </c>
      <c r="AR32" s="19">
        <f t="shared" si="38"/>
        <v>-0.30500000000000682</v>
      </c>
      <c r="AS32" s="39">
        <f t="shared" si="39"/>
        <v>-0.25100000000000477</v>
      </c>
      <c r="AT32" s="39">
        <f t="shared" si="40"/>
        <v>-0.34000000000000341</v>
      </c>
      <c r="AU32" s="39">
        <f>V32-T32</f>
        <v>-0.11199999999999477</v>
      </c>
      <c r="AV32" s="39">
        <f>X32-V32</f>
        <v>-3.7000000000006139E-2</v>
      </c>
      <c r="AW32" s="39">
        <f>Z32-X32</f>
        <v>-0.18899999999999295</v>
      </c>
      <c r="AX32" s="39">
        <f>(AC32-Z32)/2</f>
        <v>-8.7999999999993861E-2</v>
      </c>
      <c r="AY32" s="39">
        <f t="shared" si="43"/>
        <v>-0.35600000000002296</v>
      </c>
      <c r="AZ32" s="39">
        <f t="shared" si="44"/>
        <v>-0.19410000000000024</v>
      </c>
    </row>
    <row r="33" spans="1:52" x14ac:dyDescent="0.3">
      <c r="A33" s="49">
        <v>140</v>
      </c>
      <c r="B33" s="142" t="s">
        <v>103</v>
      </c>
      <c r="C33" s="142"/>
      <c r="D33" s="142"/>
      <c r="E33" s="161" t="s">
        <v>15</v>
      </c>
      <c r="F33" s="81">
        <v>2011</v>
      </c>
      <c r="G33" s="37">
        <v>292.40800000000002</v>
      </c>
      <c r="H33" s="81">
        <v>2012</v>
      </c>
      <c r="I33" s="37">
        <v>292.33800000000002</v>
      </c>
      <c r="J33" s="81">
        <v>2022</v>
      </c>
      <c r="K33" s="58">
        <v>292.40800000000002</v>
      </c>
      <c r="L33" s="17">
        <v>292.33800000000002</v>
      </c>
      <c r="M33" s="17">
        <v>292.40800000000002</v>
      </c>
      <c r="N33" s="17">
        <v>292.31599999999997</v>
      </c>
      <c r="O33" s="17">
        <v>292.37</v>
      </c>
      <c r="P33" s="17">
        <v>292.39800000000002</v>
      </c>
      <c r="Q33" s="17">
        <v>292.36399999999998</v>
      </c>
      <c r="R33" s="37">
        <v>292.23899999999998</v>
      </c>
      <c r="S33" s="17">
        <v>292.358</v>
      </c>
      <c r="T33" s="37">
        <v>292.22500000000002</v>
      </c>
      <c r="U33" s="37">
        <v>292.27999999999997</v>
      </c>
      <c r="V33" s="37">
        <v>293.51799999999997</v>
      </c>
      <c r="W33" s="72"/>
      <c r="X33" s="72"/>
      <c r="Y33" s="72"/>
      <c r="Z33" s="72"/>
      <c r="AA33" s="72"/>
      <c r="AB33" s="72"/>
      <c r="AC33" s="76"/>
      <c r="AD33" s="94"/>
      <c r="AE33" s="87"/>
      <c r="AF33" s="58">
        <f t="shared" si="32"/>
        <v>0</v>
      </c>
      <c r="AG33" s="17">
        <f t="shared" si="33"/>
        <v>-3.8000000000010914E-2</v>
      </c>
      <c r="AH33" s="19">
        <f t="shared" si="34"/>
        <v>-6.0000000000286491E-3</v>
      </c>
      <c r="AI33" s="39">
        <f t="shared" si="35"/>
        <v>-5.9999999999718057E-3</v>
      </c>
      <c r="AJ33" s="39">
        <f t="shared" si="36"/>
        <v>-7.8000000000031378E-2</v>
      </c>
      <c r="AK33" s="73" t="s">
        <v>99</v>
      </c>
      <c r="AL33" s="73"/>
      <c r="AM33" s="73"/>
      <c r="AN33" s="72"/>
      <c r="AO33" s="87"/>
      <c r="AP33" s="89"/>
      <c r="AQ33" s="31">
        <f t="shared" si="37"/>
        <v>-2.2000000000048203E-2</v>
      </c>
      <c r="AR33" s="19">
        <f t="shared" si="38"/>
        <v>8.2000000000050477E-2</v>
      </c>
      <c r="AS33" s="39">
        <f t="shared" si="39"/>
        <v>-0.15900000000004866</v>
      </c>
      <c r="AT33" s="39">
        <f t="shared" si="40"/>
        <v>-1.3999999999953161E-2</v>
      </c>
      <c r="AU33" s="73"/>
      <c r="AV33" s="73"/>
      <c r="AW33" s="73" t="s">
        <v>99</v>
      </c>
      <c r="AX33" s="73"/>
      <c r="AY33" s="73"/>
      <c r="AZ33" s="73"/>
    </row>
    <row r="34" spans="1:52" x14ac:dyDescent="0.3">
      <c r="A34" s="3">
        <v>141</v>
      </c>
      <c r="B34" s="37">
        <v>2207496.71</v>
      </c>
      <c r="C34" s="37">
        <v>6274591.7889999999</v>
      </c>
      <c r="D34" s="37">
        <v>284.62700000000001</v>
      </c>
      <c r="E34" s="161" t="s">
        <v>63</v>
      </c>
      <c r="F34" s="81">
        <v>2011</v>
      </c>
      <c r="G34" s="37">
        <v>285.40899999999999</v>
      </c>
      <c r="H34" s="81">
        <v>2012</v>
      </c>
      <c r="I34" s="37">
        <v>285.28699999999998</v>
      </c>
      <c r="J34" s="81">
        <v>2022</v>
      </c>
      <c r="K34" s="58">
        <v>285.40899999999999</v>
      </c>
      <c r="L34" s="17">
        <v>285.28699999999998</v>
      </c>
      <c r="M34" s="17">
        <v>285.29199999999997</v>
      </c>
      <c r="N34" s="17">
        <v>285.26799999999997</v>
      </c>
      <c r="O34" s="17">
        <v>285.24</v>
      </c>
      <c r="P34" s="17">
        <v>285.15699999999998</v>
      </c>
      <c r="Q34" s="17">
        <v>285.18900000000002</v>
      </c>
      <c r="R34" s="37">
        <v>285.11399999999998</v>
      </c>
      <c r="S34" s="17">
        <v>285.12</v>
      </c>
      <c r="T34" s="37">
        <v>284.99700000000001</v>
      </c>
      <c r="U34" s="37">
        <v>285.03899999999999</v>
      </c>
      <c r="V34" s="37">
        <v>284.96300000000002</v>
      </c>
      <c r="W34" s="37">
        <v>284.97000000000003</v>
      </c>
      <c r="X34" s="37">
        <v>284.91199999999998</v>
      </c>
      <c r="Y34" s="37">
        <v>284.85300000000001</v>
      </c>
      <c r="Z34" s="37">
        <v>284.83699999999999</v>
      </c>
      <c r="AA34" s="45">
        <v>284.75400000000002</v>
      </c>
      <c r="AB34" s="45">
        <v>284.714</v>
      </c>
      <c r="AC34" s="45">
        <v>284.67399999999998</v>
      </c>
      <c r="AD34" s="90">
        <v>284.62700000000001</v>
      </c>
      <c r="AE34" s="90">
        <v>284.69099999999997</v>
      </c>
      <c r="AF34" s="58">
        <f t="shared" si="32"/>
        <v>-0.11700000000001864</v>
      </c>
      <c r="AG34" s="17">
        <f t="shared" si="33"/>
        <v>-5.1999999999964075E-2</v>
      </c>
      <c r="AH34" s="19">
        <f t="shared" si="34"/>
        <v>-5.0999999999987722E-2</v>
      </c>
      <c r="AI34" s="39">
        <f t="shared" si="35"/>
        <v>-6.9000000000016826E-2</v>
      </c>
      <c r="AJ34" s="39">
        <f t="shared" si="36"/>
        <v>-8.100000000001728E-2</v>
      </c>
      <c r="AK34" s="39">
        <f t="shared" ref="AK34:AK52" si="45">W34-U34</f>
        <v>-6.8999999999959982E-2</v>
      </c>
      <c r="AL34" s="39">
        <f t="shared" ref="AL34:AL62" si="46">Y34-W34</f>
        <v>-0.11700000000001864</v>
      </c>
      <c r="AM34" s="39">
        <f t="shared" ref="AM34:AM62" si="47">AA34-Y34</f>
        <v>-9.8999999999989541E-2</v>
      </c>
      <c r="AN34" s="45">
        <f t="shared" ref="AN34:AN62" si="48">AB34-AA34</f>
        <v>-4.0000000000020464E-2</v>
      </c>
      <c r="AO34" s="51">
        <f t="shared" ref="AO34:AO62" si="49">AD34-AB34</f>
        <v>-8.6999999999989086E-2</v>
      </c>
      <c r="AP34" s="51">
        <f t="shared" ref="AP34:AP63" si="50">(AD34-G34)/(J34-F34)</f>
        <v>-7.1090909090907484E-2</v>
      </c>
      <c r="AQ34" s="31">
        <f t="shared" si="37"/>
        <v>-1.9000000000005457E-2</v>
      </c>
      <c r="AR34" s="19">
        <f t="shared" si="38"/>
        <v>-0.11099999999999</v>
      </c>
      <c r="AS34" s="39">
        <f t="shared" si="39"/>
        <v>-4.3000000000006366E-2</v>
      </c>
      <c r="AT34" s="39">
        <f t="shared" si="40"/>
        <v>-0.1169999999999618</v>
      </c>
      <c r="AU34" s="39">
        <f t="shared" ref="AU34:AU52" si="51">V34-T34</f>
        <v>-3.3999999999991815E-2</v>
      </c>
      <c r="AV34" s="39">
        <f t="shared" ref="AV34:AV52" si="52">X34-V34</f>
        <v>-5.1000000000044565E-2</v>
      </c>
      <c r="AW34" s="39">
        <f t="shared" ref="AW34:AW77" si="53">Z34-X34</f>
        <v>-7.4999999999988631E-2</v>
      </c>
      <c r="AX34" s="39">
        <f t="shared" ref="AX34:AX77" si="54">(AC34-Z34)/2</f>
        <v>-8.1500000000005457E-2</v>
      </c>
      <c r="AY34" s="39">
        <f t="shared" ref="AY34:AY62" si="55">AE34-AC34</f>
        <v>1.6999999999995907E-2</v>
      </c>
      <c r="AZ34" s="39">
        <f t="shared" ref="AZ34:AZ83" si="56">(AE34-$I34)/(2022-$H34)</f>
        <v>-5.9600000000000361E-2</v>
      </c>
    </row>
    <row r="35" spans="1:52" x14ac:dyDescent="0.3">
      <c r="A35" s="3">
        <v>142</v>
      </c>
      <c r="B35" s="37">
        <v>2239184.2990000001</v>
      </c>
      <c r="C35" s="37">
        <v>6329798.0499999998</v>
      </c>
      <c r="D35" s="37">
        <v>430.346</v>
      </c>
      <c r="E35" s="161" t="s">
        <v>51</v>
      </c>
      <c r="F35" s="81">
        <v>2011</v>
      </c>
      <c r="G35" s="37">
        <v>430.39600000000002</v>
      </c>
      <c r="H35" s="81">
        <v>2012</v>
      </c>
      <c r="I35" s="37">
        <v>430.37799999999999</v>
      </c>
      <c r="J35" s="81">
        <v>2022</v>
      </c>
      <c r="K35" s="58">
        <v>430.39600000000002</v>
      </c>
      <c r="L35" s="17">
        <v>430.37799999999999</v>
      </c>
      <c r="M35" s="17">
        <v>430.30799999999999</v>
      </c>
      <c r="N35" s="17">
        <v>430.30799999999999</v>
      </c>
      <c r="O35" s="17">
        <v>430.36</v>
      </c>
      <c r="P35" s="17">
        <v>430.38299999999998</v>
      </c>
      <c r="Q35" s="17">
        <v>430.28100000000001</v>
      </c>
      <c r="R35" s="37">
        <v>430.41300000000001</v>
      </c>
      <c r="S35" s="17">
        <v>430.42700000000002</v>
      </c>
      <c r="T35" s="37">
        <v>430.38900000000001</v>
      </c>
      <c r="U35" s="37">
        <v>430.38799999999998</v>
      </c>
      <c r="V35" s="37">
        <v>430.41500000000002</v>
      </c>
      <c r="W35" s="37">
        <v>430.37</v>
      </c>
      <c r="X35" s="37">
        <v>430.34699999999998</v>
      </c>
      <c r="Y35" s="37">
        <v>430.32100000000003</v>
      </c>
      <c r="Z35" s="37">
        <v>430.351</v>
      </c>
      <c r="AA35" s="45">
        <v>430.31599999999997</v>
      </c>
      <c r="AB35" s="45">
        <v>430.34500000000003</v>
      </c>
      <c r="AC35" s="45">
        <v>430.40100000000001</v>
      </c>
      <c r="AD35" s="90">
        <v>430.346</v>
      </c>
      <c r="AE35" s="90">
        <v>430.435</v>
      </c>
      <c r="AF35" s="58">
        <f t="shared" si="32"/>
        <v>-8.8000000000022283E-2</v>
      </c>
      <c r="AG35" s="17">
        <f t="shared" si="33"/>
        <v>5.2000000000020918E-2</v>
      </c>
      <c r="AH35" s="19">
        <f t="shared" si="34"/>
        <v>-7.9000000000007731E-2</v>
      </c>
      <c r="AI35" s="39">
        <f t="shared" si="35"/>
        <v>0.14600000000001501</v>
      </c>
      <c r="AJ35" s="39">
        <f t="shared" si="36"/>
        <v>-3.900000000004411E-2</v>
      </c>
      <c r="AK35" s="39">
        <f t="shared" si="45"/>
        <v>-1.799999999997226E-2</v>
      </c>
      <c r="AL35" s="39">
        <f t="shared" si="46"/>
        <v>-4.8999999999978172E-2</v>
      </c>
      <c r="AM35" s="39">
        <f t="shared" si="47"/>
        <v>-5.0000000000522959E-3</v>
      </c>
      <c r="AN35" s="45">
        <f t="shared" si="48"/>
        <v>2.9000000000053205E-2</v>
      </c>
      <c r="AO35" s="51">
        <f t="shared" si="49"/>
        <v>9.9999999997635314E-4</v>
      </c>
      <c r="AP35" s="51">
        <f t="shared" si="50"/>
        <v>-4.5454545454555791E-3</v>
      </c>
      <c r="AQ35" s="31">
        <f t="shared" si="37"/>
        <v>-6.9999999999993179E-2</v>
      </c>
      <c r="AR35" s="19">
        <f t="shared" si="38"/>
        <v>7.4999999999988631E-2</v>
      </c>
      <c r="AS35" s="39">
        <f t="shared" si="39"/>
        <v>3.0000000000029559E-2</v>
      </c>
      <c r="AT35" s="39">
        <f t="shared" si="40"/>
        <v>-2.4000000000000909E-2</v>
      </c>
      <c r="AU35" s="39">
        <f t="shared" si="51"/>
        <v>2.6000000000010459E-2</v>
      </c>
      <c r="AV35" s="39">
        <f t="shared" si="52"/>
        <v>-6.8000000000040473E-2</v>
      </c>
      <c r="AW35" s="39">
        <f t="shared" si="53"/>
        <v>4.0000000000190994E-3</v>
      </c>
      <c r="AX35" s="39">
        <f t="shared" si="54"/>
        <v>2.5000000000005684E-2</v>
      </c>
      <c r="AY35" s="39">
        <f t="shared" si="55"/>
        <v>3.3999999999991815E-2</v>
      </c>
      <c r="AZ35" s="39">
        <f t="shared" si="56"/>
        <v>5.7000000000016369E-3</v>
      </c>
    </row>
    <row r="36" spans="1:52" ht="14.1" customHeight="1" x14ac:dyDescent="0.3">
      <c r="A36" s="3">
        <v>143</v>
      </c>
      <c r="B36" s="37">
        <v>2282575.548</v>
      </c>
      <c r="C36" s="37">
        <v>6342236.4840000002</v>
      </c>
      <c r="D36" s="37">
        <v>1107.1130000000001</v>
      </c>
      <c r="E36" s="161" t="s">
        <v>118</v>
      </c>
      <c r="F36" s="81">
        <v>2011</v>
      </c>
      <c r="G36" s="37">
        <v>1107.192</v>
      </c>
      <c r="H36" s="81">
        <v>2014</v>
      </c>
      <c r="I36" s="37">
        <v>1107.172</v>
      </c>
      <c r="J36" s="81">
        <v>2022</v>
      </c>
      <c r="K36" s="58">
        <v>1107.192</v>
      </c>
      <c r="L36" s="17"/>
      <c r="M36" s="17"/>
      <c r="N36" s="17"/>
      <c r="O36" s="17">
        <v>1107.123</v>
      </c>
      <c r="P36" s="17">
        <v>1107.172</v>
      </c>
      <c r="Q36" s="17">
        <v>1107.047</v>
      </c>
      <c r="R36" s="37">
        <v>1107.1369999999999</v>
      </c>
      <c r="S36" s="17">
        <v>1107.165</v>
      </c>
      <c r="T36" s="37">
        <v>1107.2619999999999</v>
      </c>
      <c r="U36" s="37">
        <v>1107.105</v>
      </c>
      <c r="V36" s="37">
        <v>1107.2929999999999</v>
      </c>
      <c r="W36" s="37">
        <v>1107.1300000000001</v>
      </c>
      <c r="X36" s="37">
        <v>1107.1279999999999</v>
      </c>
      <c r="Y36" s="37">
        <v>1107.077</v>
      </c>
      <c r="Z36" s="37">
        <v>1107.172</v>
      </c>
      <c r="AA36" s="45">
        <v>1107.1099999999999</v>
      </c>
      <c r="AB36" s="45">
        <v>1107.087</v>
      </c>
      <c r="AC36" s="45">
        <v>1107.3140000000001</v>
      </c>
      <c r="AD36" s="90">
        <v>1107.1130000000001</v>
      </c>
      <c r="AE36" s="90">
        <v>1107.191</v>
      </c>
      <c r="AF36" s="58"/>
      <c r="AG36" s="17"/>
      <c r="AH36" s="19">
        <f t="shared" si="34"/>
        <v>-7.6000000000021828E-2</v>
      </c>
      <c r="AI36" s="39">
        <f t="shared" si="35"/>
        <v>0.11799999999993815</v>
      </c>
      <c r="AJ36" s="39">
        <f t="shared" si="36"/>
        <v>-5.999999999994543E-2</v>
      </c>
      <c r="AK36" s="39">
        <f t="shared" si="45"/>
        <v>2.5000000000090949E-2</v>
      </c>
      <c r="AL36" s="39">
        <f t="shared" si="46"/>
        <v>-5.3000000000110958E-2</v>
      </c>
      <c r="AM36" s="39">
        <f t="shared" si="47"/>
        <v>3.2999999999901775E-2</v>
      </c>
      <c r="AN36" s="51">
        <f t="shared" si="48"/>
        <v>-2.299999999991087E-2</v>
      </c>
      <c r="AO36" s="51">
        <f t="shared" si="49"/>
        <v>2.6000000000067303E-2</v>
      </c>
      <c r="AP36" s="51">
        <f t="shared" si="50"/>
        <v>-7.1818181818137173E-3</v>
      </c>
      <c r="AQ36" s="31"/>
      <c r="AR36" s="18"/>
      <c r="AS36" s="39">
        <f t="shared" si="39"/>
        <v>-3.5000000000081855E-2</v>
      </c>
      <c r="AT36" s="39">
        <f t="shared" si="40"/>
        <v>0.125</v>
      </c>
      <c r="AU36" s="39">
        <f t="shared" si="51"/>
        <v>3.0999999999949068E-2</v>
      </c>
      <c r="AV36" s="39">
        <f t="shared" si="52"/>
        <v>-0.16499999999996362</v>
      </c>
      <c r="AW36" s="39">
        <f t="shared" si="53"/>
        <v>4.4000000000096406E-2</v>
      </c>
      <c r="AX36" s="39">
        <f t="shared" si="54"/>
        <v>7.1000000000026375E-2</v>
      </c>
      <c r="AY36" s="39">
        <f t="shared" si="55"/>
        <v>-0.12300000000004729</v>
      </c>
      <c r="AZ36" s="38">
        <f t="shared" si="56"/>
        <v>2.3750000000006821E-3</v>
      </c>
    </row>
    <row r="37" spans="1:52" x14ac:dyDescent="0.3">
      <c r="A37" s="3">
        <v>144</v>
      </c>
      <c r="B37" s="37">
        <v>2221992.392</v>
      </c>
      <c r="C37" s="37">
        <v>6029550.8430000003</v>
      </c>
      <c r="D37" s="37">
        <v>313.904</v>
      </c>
      <c r="E37" s="161" t="s">
        <v>16</v>
      </c>
      <c r="F37" s="81">
        <v>2011</v>
      </c>
      <c r="G37" s="37">
        <v>314.23500000000001</v>
      </c>
      <c r="H37" s="81">
        <v>2012</v>
      </c>
      <c r="I37" s="37">
        <v>314.30799999999999</v>
      </c>
      <c r="J37" s="81">
        <v>2022</v>
      </c>
      <c r="K37" s="58">
        <v>314.23500000000001</v>
      </c>
      <c r="L37" s="17">
        <v>314.30799999999999</v>
      </c>
      <c r="M37" s="17">
        <v>314.26499999999999</v>
      </c>
      <c r="N37" s="17">
        <v>314.25900000000001</v>
      </c>
      <c r="O37" s="17">
        <v>314.20999999999998</v>
      </c>
      <c r="P37" s="17">
        <v>314.10300000000001</v>
      </c>
      <c r="Q37" s="17">
        <v>314.17899999999997</v>
      </c>
      <c r="R37" s="37">
        <v>314.14999999999998</v>
      </c>
      <c r="S37" s="17">
        <v>314.142</v>
      </c>
      <c r="T37" s="37">
        <v>314.09399999999999</v>
      </c>
      <c r="U37" s="37">
        <v>314.09800000000001</v>
      </c>
      <c r="V37" s="37">
        <v>314.084</v>
      </c>
      <c r="W37" s="37">
        <v>314.06</v>
      </c>
      <c r="X37" s="37">
        <v>314.03399999999999</v>
      </c>
      <c r="Y37" s="37">
        <v>314.02</v>
      </c>
      <c r="Z37" s="37">
        <v>314.03899999999999</v>
      </c>
      <c r="AA37" s="45">
        <v>314.03100000000001</v>
      </c>
      <c r="AB37" s="45">
        <v>313.95699999999999</v>
      </c>
      <c r="AC37" s="45">
        <v>313.91899999999998</v>
      </c>
      <c r="AD37" s="90">
        <v>313.904</v>
      </c>
      <c r="AE37" s="90">
        <v>313.87200000000001</v>
      </c>
      <c r="AF37" s="58">
        <f>M37-K37</f>
        <v>2.9999999999972715E-2</v>
      </c>
      <c r="AG37" s="17">
        <f>O37-M37</f>
        <v>-5.5000000000006821E-2</v>
      </c>
      <c r="AH37" s="19">
        <f t="shared" si="34"/>
        <v>-3.1000000000005912E-2</v>
      </c>
      <c r="AI37" s="39">
        <f t="shared" si="35"/>
        <v>-3.6999999999977717E-2</v>
      </c>
      <c r="AJ37" s="39">
        <f t="shared" si="36"/>
        <v>-4.399999999998272E-2</v>
      </c>
      <c r="AK37" s="39">
        <f t="shared" si="45"/>
        <v>-3.8000000000010914E-2</v>
      </c>
      <c r="AL37" s="39">
        <f t="shared" si="46"/>
        <v>-4.0000000000020464E-2</v>
      </c>
      <c r="AM37" s="39">
        <f t="shared" si="47"/>
        <v>1.1000000000024102E-2</v>
      </c>
      <c r="AN37" s="51">
        <f t="shared" si="48"/>
        <v>-7.4000000000012278E-2</v>
      </c>
      <c r="AO37" s="51">
        <f t="shared" si="49"/>
        <v>-5.2999999999997272E-2</v>
      </c>
      <c r="AP37" s="51">
        <f t="shared" si="50"/>
        <v>-3.0090909090910663E-2</v>
      </c>
      <c r="AQ37" s="31">
        <f>N37-L37</f>
        <v>-4.8999999999978172E-2</v>
      </c>
      <c r="AR37" s="19">
        <f>P37-N37</f>
        <v>-0.15600000000000591</v>
      </c>
      <c r="AS37" s="39">
        <f t="shared" si="39"/>
        <v>4.6999999999968622E-2</v>
      </c>
      <c r="AT37" s="39">
        <f t="shared" si="40"/>
        <v>-5.5999999999983174E-2</v>
      </c>
      <c r="AU37" s="39">
        <f t="shared" si="51"/>
        <v>-9.9999999999909051E-3</v>
      </c>
      <c r="AV37" s="39">
        <f t="shared" si="52"/>
        <v>-5.0000000000011369E-2</v>
      </c>
      <c r="AW37" s="39">
        <f t="shared" si="53"/>
        <v>4.9999999999954525E-3</v>
      </c>
      <c r="AX37" s="39">
        <f t="shared" si="54"/>
        <v>-6.0000000000002274E-2</v>
      </c>
      <c r="AY37" s="39">
        <f t="shared" si="55"/>
        <v>-4.6999999999968622E-2</v>
      </c>
      <c r="AZ37" s="39">
        <f t="shared" si="56"/>
        <v>-4.3599999999997863E-2</v>
      </c>
    </row>
    <row r="38" spans="1:52" x14ac:dyDescent="0.3">
      <c r="A38" s="82">
        <v>145</v>
      </c>
      <c r="B38" s="83">
        <v>2199134.5099999998</v>
      </c>
      <c r="C38" s="83">
        <v>6397420.4000000004</v>
      </c>
      <c r="D38" s="83">
        <v>494.11700000000002</v>
      </c>
      <c r="E38" s="96" t="s">
        <v>17</v>
      </c>
      <c r="F38" s="81">
        <v>2011</v>
      </c>
      <c r="G38" s="37">
        <v>494.09399999999999</v>
      </c>
      <c r="H38" s="81">
        <v>2012</v>
      </c>
      <c r="I38" s="37">
        <v>494.09</v>
      </c>
      <c r="J38" s="81">
        <v>2022</v>
      </c>
      <c r="K38" s="58">
        <v>494.09399999999999</v>
      </c>
      <c r="L38" s="17">
        <v>494.09</v>
      </c>
      <c r="M38" s="17">
        <v>494.09</v>
      </c>
      <c r="N38" s="17">
        <v>494.09</v>
      </c>
      <c r="O38" s="17">
        <v>494.09</v>
      </c>
      <c r="P38" s="17">
        <v>494.09</v>
      </c>
      <c r="Q38" s="17">
        <v>494.1</v>
      </c>
      <c r="R38" s="37">
        <v>494.1</v>
      </c>
      <c r="S38" s="17">
        <v>494.09</v>
      </c>
      <c r="T38" s="37">
        <v>494.09</v>
      </c>
      <c r="U38" s="45">
        <v>494.09</v>
      </c>
      <c r="V38" s="37">
        <v>494.09</v>
      </c>
      <c r="W38" s="37">
        <v>494.09</v>
      </c>
      <c r="X38" s="37">
        <v>494.09</v>
      </c>
      <c r="Y38" s="37">
        <v>494.09</v>
      </c>
      <c r="Z38" s="37">
        <v>494.09</v>
      </c>
      <c r="AA38" s="45">
        <v>494.09</v>
      </c>
      <c r="AB38" s="45">
        <v>494.09</v>
      </c>
      <c r="AC38" s="45">
        <v>494.29199999999997</v>
      </c>
      <c r="AD38" s="90">
        <v>494.11700000000002</v>
      </c>
      <c r="AE38" s="90">
        <v>494.14299999999997</v>
      </c>
      <c r="AF38" s="58">
        <f>M38-K38</f>
        <v>-4.0000000000190994E-3</v>
      </c>
      <c r="AG38" s="17">
        <f>O38-M38</f>
        <v>0</v>
      </c>
      <c r="AH38" s="19">
        <f t="shared" si="34"/>
        <v>1.0000000000047748E-2</v>
      </c>
      <c r="AI38" s="39">
        <f t="shared" si="35"/>
        <v>-1.0000000000047748E-2</v>
      </c>
      <c r="AJ38" s="39">
        <f t="shared" si="36"/>
        <v>0</v>
      </c>
      <c r="AK38" s="39">
        <f t="shared" si="45"/>
        <v>0</v>
      </c>
      <c r="AL38" s="39">
        <f t="shared" si="46"/>
        <v>0</v>
      </c>
      <c r="AM38" s="39">
        <f t="shared" si="47"/>
        <v>0</v>
      </c>
      <c r="AN38" s="51">
        <f t="shared" si="48"/>
        <v>0</v>
      </c>
      <c r="AO38" s="51">
        <f t="shared" si="49"/>
        <v>2.7000000000043656E-2</v>
      </c>
      <c r="AP38" s="51">
        <f t="shared" si="50"/>
        <v>2.0909090909113233E-3</v>
      </c>
      <c r="AQ38" s="31">
        <f>N38-L38</f>
        <v>0</v>
      </c>
      <c r="AR38" s="19">
        <f>P38-N38</f>
        <v>0</v>
      </c>
      <c r="AS38" s="39">
        <f t="shared" si="39"/>
        <v>1.0000000000047748E-2</v>
      </c>
      <c r="AT38" s="39">
        <f t="shared" si="40"/>
        <v>-1.0000000000047748E-2</v>
      </c>
      <c r="AU38" s="39">
        <f t="shared" si="51"/>
        <v>0</v>
      </c>
      <c r="AV38" s="39">
        <f t="shared" si="52"/>
        <v>0</v>
      </c>
      <c r="AW38" s="39">
        <f t="shared" si="53"/>
        <v>0</v>
      </c>
      <c r="AX38" s="39">
        <f t="shared" si="54"/>
        <v>0.10099999999999909</v>
      </c>
      <c r="AY38" s="39">
        <f t="shared" si="55"/>
        <v>-0.14900000000000091</v>
      </c>
      <c r="AZ38" s="39">
        <f t="shared" si="56"/>
        <v>5.2999999999997268E-3</v>
      </c>
    </row>
    <row r="39" spans="1:52" x14ac:dyDescent="0.3">
      <c r="A39" s="82">
        <v>146</v>
      </c>
      <c r="B39" s="83">
        <v>2275034.34</v>
      </c>
      <c r="C39" s="83">
        <v>5961519.29</v>
      </c>
      <c r="D39" s="83">
        <v>285.33999999999997</v>
      </c>
      <c r="E39" s="96" t="s">
        <v>18</v>
      </c>
      <c r="F39" s="81">
        <v>2011</v>
      </c>
      <c r="G39" s="37">
        <v>285.34399999999999</v>
      </c>
      <c r="H39" s="81">
        <v>2012</v>
      </c>
      <c r="I39" s="37">
        <v>285.41399999999999</v>
      </c>
      <c r="J39" s="81">
        <v>2022</v>
      </c>
      <c r="K39" s="58">
        <v>285.34399999999999</v>
      </c>
      <c r="L39" s="17">
        <v>285.41399999999999</v>
      </c>
      <c r="M39" s="17">
        <v>285.33999999999997</v>
      </c>
      <c r="N39" s="17">
        <v>285.33999999999997</v>
      </c>
      <c r="O39" s="17">
        <v>285.33999999999997</v>
      </c>
      <c r="P39" s="17">
        <v>285.33999999999997</v>
      </c>
      <c r="Q39" s="17">
        <v>285.33999999999997</v>
      </c>
      <c r="R39" s="37">
        <v>285.33999999999997</v>
      </c>
      <c r="S39" s="17">
        <v>285.33999999999997</v>
      </c>
      <c r="T39" s="37">
        <v>285.33999999999997</v>
      </c>
      <c r="U39" s="45">
        <v>285.33999999999997</v>
      </c>
      <c r="V39" s="37">
        <v>285.33999999999997</v>
      </c>
      <c r="W39" s="37">
        <v>285.33999999999997</v>
      </c>
      <c r="X39" s="37">
        <v>285.33999999999997</v>
      </c>
      <c r="Y39" s="37">
        <v>285.33999999999997</v>
      </c>
      <c r="Z39" s="37">
        <v>285.33999999999997</v>
      </c>
      <c r="AA39" s="45">
        <v>285.33999999999997</v>
      </c>
      <c r="AB39" s="45">
        <v>285.33999999999997</v>
      </c>
      <c r="AC39" s="45">
        <v>285.33999999999997</v>
      </c>
      <c r="AD39" s="90">
        <v>285.33999999999997</v>
      </c>
      <c r="AE39" s="90">
        <v>285.33999999999997</v>
      </c>
      <c r="AF39" s="58">
        <f>M39-K39</f>
        <v>-4.0000000000190994E-3</v>
      </c>
      <c r="AG39" s="17">
        <f>O39-M39</f>
        <v>0</v>
      </c>
      <c r="AH39" s="19">
        <f t="shared" si="34"/>
        <v>0</v>
      </c>
      <c r="AI39" s="39">
        <f t="shared" si="35"/>
        <v>0</v>
      </c>
      <c r="AJ39" s="39">
        <f t="shared" si="36"/>
        <v>0</v>
      </c>
      <c r="AK39" s="39">
        <f t="shared" si="45"/>
        <v>0</v>
      </c>
      <c r="AL39" s="39">
        <f t="shared" si="46"/>
        <v>0</v>
      </c>
      <c r="AM39" s="39">
        <f t="shared" si="47"/>
        <v>0</v>
      </c>
      <c r="AN39" s="51">
        <f t="shared" si="48"/>
        <v>0</v>
      </c>
      <c r="AO39" s="51">
        <f t="shared" si="49"/>
        <v>0</v>
      </c>
      <c r="AP39" s="51">
        <f t="shared" si="50"/>
        <v>-3.6363636363809996E-4</v>
      </c>
      <c r="AQ39" s="31">
        <f>N39-L39</f>
        <v>-7.4000000000012278E-2</v>
      </c>
      <c r="AR39" s="19">
        <f>P39-N39</f>
        <v>0</v>
      </c>
      <c r="AS39" s="39">
        <f t="shared" si="39"/>
        <v>0</v>
      </c>
      <c r="AT39" s="39">
        <f t="shared" si="40"/>
        <v>0</v>
      </c>
      <c r="AU39" s="39">
        <f t="shared" si="51"/>
        <v>0</v>
      </c>
      <c r="AV39" s="39">
        <f t="shared" si="52"/>
        <v>0</v>
      </c>
      <c r="AW39" s="39">
        <f t="shared" si="53"/>
        <v>0</v>
      </c>
      <c r="AX39" s="39">
        <f t="shared" si="54"/>
        <v>0</v>
      </c>
      <c r="AY39" s="39">
        <f t="shared" si="55"/>
        <v>0</v>
      </c>
      <c r="AZ39" s="39">
        <f t="shared" si="56"/>
        <v>-7.4000000000012276E-3</v>
      </c>
    </row>
    <row r="40" spans="1:52" x14ac:dyDescent="0.3">
      <c r="A40" s="3">
        <v>147</v>
      </c>
      <c r="B40" s="37">
        <v>2238612.2599999998</v>
      </c>
      <c r="C40" s="37">
        <v>6104481.341</v>
      </c>
      <c r="D40" s="37">
        <v>122.673</v>
      </c>
      <c r="E40" s="161" t="s">
        <v>19</v>
      </c>
      <c r="F40" s="81">
        <v>2011</v>
      </c>
      <c r="G40" s="37">
        <v>124.21599999999999</v>
      </c>
      <c r="H40" s="81">
        <v>2012</v>
      </c>
      <c r="I40" s="37">
        <v>124.137</v>
      </c>
      <c r="J40" s="81">
        <v>2022</v>
      </c>
      <c r="K40" s="58">
        <v>124.21599999999999</v>
      </c>
      <c r="L40" s="17">
        <v>124.137</v>
      </c>
      <c r="M40" s="17">
        <v>124.074</v>
      </c>
      <c r="N40" s="17">
        <v>123.935</v>
      </c>
      <c r="O40" s="17">
        <v>123.91</v>
      </c>
      <c r="P40" s="17">
        <v>123.852</v>
      </c>
      <c r="Q40" s="17">
        <v>123.804</v>
      </c>
      <c r="R40" s="37">
        <v>123.648</v>
      </c>
      <c r="S40" s="17">
        <v>123.548</v>
      </c>
      <c r="T40" s="37">
        <v>123.539</v>
      </c>
      <c r="U40" s="37">
        <v>123.407</v>
      </c>
      <c r="V40" s="37">
        <v>123.26600000000001</v>
      </c>
      <c r="W40" s="37">
        <v>123.28</v>
      </c>
      <c r="X40" s="37">
        <v>123.126</v>
      </c>
      <c r="Y40" s="37">
        <v>123.125</v>
      </c>
      <c r="Z40" s="37">
        <v>123.03700000000001</v>
      </c>
      <c r="AA40" s="45">
        <v>122.991</v>
      </c>
      <c r="AB40" s="45">
        <v>122.834</v>
      </c>
      <c r="AC40" s="45">
        <v>122.721</v>
      </c>
      <c r="AD40" s="90">
        <v>122.673</v>
      </c>
      <c r="AE40" s="90">
        <v>122.557</v>
      </c>
      <c r="AF40" s="58">
        <f>M40-K40</f>
        <v>-0.14199999999999591</v>
      </c>
      <c r="AG40" s="17">
        <f>O40-M40</f>
        <v>-0.16400000000000148</v>
      </c>
      <c r="AH40" s="19">
        <f t="shared" si="34"/>
        <v>-0.10599999999999454</v>
      </c>
      <c r="AI40" s="39">
        <f t="shared" si="35"/>
        <v>-0.25600000000000023</v>
      </c>
      <c r="AJ40" s="39">
        <f t="shared" si="36"/>
        <v>-0.14100000000000534</v>
      </c>
      <c r="AK40" s="39">
        <f t="shared" si="45"/>
        <v>-0.12699999999999534</v>
      </c>
      <c r="AL40" s="39">
        <f t="shared" si="46"/>
        <v>-0.15500000000000114</v>
      </c>
      <c r="AM40" s="39">
        <f t="shared" si="47"/>
        <v>-0.13400000000000034</v>
      </c>
      <c r="AN40" s="51">
        <f t="shared" si="48"/>
        <v>-0.15699999999999648</v>
      </c>
      <c r="AO40" s="51">
        <f t="shared" si="49"/>
        <v>-0.16100000000000136</v>
      </c>
      <c r="AP40" s="51">
        <f t="shared" si="50"/>
        <v>-0.14027272727272655</v>
      </c>
      <c r="AQ40" s="31">
        <f>N40-L40</f>
        <v>-0.20199999999999818</v>
      </c>
      <c r="AR40" s="19">
        <f>P40-N40</f>
        <v>-8.2999999999998408E-2</v>
      </c>
      <c r="AS40" s="39">
        <f t="shared" si="39"/>
        <v>-0.20400000000000773</v>
      </c>
      <c r="AT40" s="39">
        <f t="shared" si="40"/>
        <v>-0.10899999999999466</v>
      </c>
      <c r="AU40" s="39">
        <f t="shared" si="51"/>
        <v>-0.27299999999999613</v>
      </c>
      <c r="AV40" s="39">
        <f t="shared" si="52"/>
        <v>-0.14000000000000057</v>
      </c>
      <c r="AW40" s="39">
        <f t="shared" si="53"/>
        <v>-8.8999999999998636E-2</v>
      </c>
      <c r="AX40" s="39">
        <f t="shared" si="54"/>
        <v>-0.15800000000000125</v>
      </c>
      <c r="AY40" s="39">
        <f t="shared" si="55"/>
        <v>-0.16400000000000148</v>
      </c>
      <c r="AZ40" s="39">
        <f t="shared" si="56"/>
        <v>-0.15799999999999984</v>
      </c>
    </row>
    <row r="41" spans="1:52" x14ac:dyDescent="0.3">
      <c r="A41" s="3">
        <v>148</v>
      </c>
      <c r="B41" s="37">
        <v>2392467.4679999999</v>
      </c>
      <c r="C41" s="37">
        <v>6061625.682</v>
      </c>
      <c r="D41" s="37">
        <v>133.95099999999999</v>
      </c>
      <c r="E41" s="161" t="s">
        <v>20</v>
      </c>
      <c r="F41" s="81">
        <v>2011</v>
      </c>
      <c r="G41" s="37">
        <v>134.37700000000001</v>
      </c>
      <c r="H41" s="81">
        <v>2012</v>
      </c>
      <c r="I41" s="37">
        <v>134.20599999999999</v>
      </c>
      <c r="J41" s="81">
        <v>2022</v>
      </c>
      <c r="K41" s="58">
        <v>134.37700000000001</v>
      </c>
      <c r="L41" s="17">
        <v>134.20599999999999</v>
      </c>
      <c r="M41" s="17">
        <v>134.20699999999999</v>
      </c>
      <c r="N41" s="17">
        <v>134.167</v>
      </c>
      <c r="O41" s="17">
        <v>134.06200000000001</v>
      </c>
      <c r="P41" s="17">
        <v>134.22999999999999</v>
      </c>
      <c r="Q41" s="17">
        <v>134.22999999999999</v>
      </c>
      <c r="R41" s="37">
        <v>134.131</v>
      </c>
      <c r="S41" s="17">
        <v>134.095</v>
      </c>
      <c r="T41" s="37">
        <v>134.22999999999999</v>
      </c>
      <c r="U41" s="37">
        <v>134.166</v>
      </c>
      <c r="V41" s="37">
        <v>134.25800000000001</v>
      </c>
      <c r="W41" s="37">
        <v>134.13</v>
      </c>
      <c r="X41" s="37">
        <v>133.95099999999999</v>
      </c>
      <c r="Y41" s="37">
        <v>134.08199999999999</v>
      </c>
      <c r="Z41" s="37">
        <v>134.15100000000001</v>
      </c>
      <c r="AA41" s="45">
        <v>134.22800000000001</v>
      </c>
      <c r="AB41" s="45">
        <v>134.03800000000001</v>
      </c>
      <c r="AC41" s="45">
        <v>133.845</v>
      </c>
      <c r="AD41" s="90">
        <v>133.95099999999999</v>
      </c>
      <c r="AE41" s="90">
        <v>133.94200000000001</v>
      </c>
      <c r="AF41" s="58">
        <f>M41-K41</f>
        <v>-0.17000000000001592</v>
      </c>
      <c r="AG41" s="17">
        <f>O41-M41</f>
        <v>-0.14499999999998181</v>
      </c>
      <c r="AH41" s="19">
        <f t="shared" si="34"/>
        <v>0.16799999999997794</v>
      </c>
      <c r="AI41" s="39">
        <f t="shared" si="35"/>
        <v>-0.13499999999999091</v>
      </c>
      <c r="AJ41" s="39">
        <f t="shared" si="36"/>
        <v>7.0999999999997954E-2</v>
      </c>
      <c r="AK41" s="39">
        <f t="shared" si="45"/>
        <v>-3.6000000000001364E-2</v>
      </c>
      <c r="AL41" s="39">
        <f t="shared" si="46"/>
        <v>-4.8000000000001819E-2</v>
      </c>
      <c r="AM41" s="39">
        <f t="shared" si="47"/>
        <v>0.14600000000001501</v>
      </c>
      <c r="AN41" s="51">
        <f t="shared" si="48"/>
        <v>-0.18999999999999773</v>
      </c>
      <c r="AO41" s="51">
        <f t="shared" si="49"/>
        <v>-8.7000000000017508E-2</v>
      </c>
      <c r="AP41" s="51">
        <f t="shared" si="50"/>
        <v>-3.8727272727274192E-2</v>
      </c>
      <c r="AQ41" s="31">
        <f>N41-L41</f>
        <v>-3.8999999999987267E-2</v>
      </c>
      <c r="AR41" s="19">
        <f>P41-N41</f>
        <v>6.2999999999988177E-2</v>
      </c>
      <c r="AS41" s="39">
        <f t="shared" si="39"/>
        <v>-9.8999999999989541E-2</v>
      </c>
      <c r="AT41" s="39">
        <f t="shared" si="40"/>
        <v>9.8999999999989541E-2</v>
      </c>
      <c r="AU41" s="39">
        <f t="shared" si="51"/>
        <v>2.8000000000020009E-2</v>
      </c>
      <c r="AV41" s="39">
        <f t="shared" si="52"/>
        <v>-0.30700000000001637</v>
      </c>
      <c r="AW41" s="39">
        <f t="shared" si="53"/>
        <v>0.20000000000001705</v>
      </c>
      <c r="AX41" s="39">
        <f t="shared" si="54"/>
        <v>-0.1530000000000058</v>
      </c>
      <c r="AY41" s="39">
        <f t="shared" si="55"/>
        <v>9.7000000000008413E-2</v>
      </c>
      <c r="AZ41" s="39">
        <f t="shared" si="56"/>
        <v>-2.6399999999998158E-2</v>
      </c>
    </row>
    <row r="42" spans="1:52" x14ac:dyDescent="0.3">
      <c r="A42" s="28">
        <v>150</v>
      </c>
      <c r="B42" s="37">
        <v>2376151.6839999999</v>
      </c>
      <c r="C42" s="37">
        <v>5971948.2359999996</v>
      </c>
      <c r="D42" s="37">
        <v>96.938999999999993</v>
      </c>
      <c r="E42" s="161" t="s">
        <v>119</v>
      </c>
      <c r="F42" s="81">
        <v>2011</v>
      </c>
      <c r="G42" s="37">
        <v>97.262</v>
      </c>
      <c r="H42" s="81">
        <v>2014</v>
      </c>
      <c r="I42" s="37">
        <v>97.298000000000002</v>
      </c>
      <c r="J42" s="81">
        <v>2022</v>
      </c>
      <c r="K42" s="58">
        <v>97.262</v>
      </c>
      <c r="L42" s="17"/>
      <c r="M42" s="17"/>
      <c r="N42" s="17"/>
      <c r="O42" s="17">
        <v>97.078000000000003</v>
      </c>
      <c r="P42" s="17">
        <v>97.298000000000002</v>
      </c>
      <c r="Q42" s="17">
        <v>97.165999999999997</v>
      </c>
      <c r="R42" s="37">
        <v>97.179000000000002</v>
      </c>
      <c r="S42" s="17">
        <v>97.117999999999995</v>
      </c>
      <c r="T42" s="37">
        <v>97.161500000000004</v>
      </c>
      <c r="U42" s="40">
        <v>97.23</v>
      </c>
      <c r="V42" s="37">
        <v>97.355000000000004</v>
      </c>
      <c r="W42" s="37">
        <v>97.26</v>
      </c>
      <c r="X42" s="37">
        <v>96.968000000000004</v>
      </c>
      <c r="Y42" s="37">
        <v>97.123000000000005</v>
      </c>
      <c r="Z42" s="37">
        <v>97.165999999999997</v>
      </c>
      <c r="AA42" s="45">
        <v>97.257999999999996</v>
      </c>
      <c r="AB42" s="45">
        <v>97.055999999999997</v>
      </c>
      <c r="AC42" s="45">
        <v>96.896000000000001</v>
      </c>
      <c r="AD42" s="90">
        <v>96.938999999999993</v>
      </c>
      <c r="AE42" s="90">
        <v>96.915999999999997</v>
      </c>
      <c r="AF42" s="58"/>
      <c r="AG42" s="17"/>
      <c r="AH42" s="19">
        <f t="shared" si="34"/>
        <v>8.7999999999993861E-2</v>
      </c>
      <c r="AI42" s="39">
        <f t="shared" si="35"/>
        <v>-4.8000000000001819E-2</v>
      </c>
      <c r="AJ42" s="39">
        <f t="shared" si="36"/>
        <v>0.11200000000000898</v>
      </c>
      <c r="AK42" s="39">
        <f t="shared" si="45"/>
        <v>3.0000000000001137E-2</v>
      </c>
      <c r="AL42" s="39">
        <f t="shared" si="46"/>
        <v>-0.13700000000000045</v>
      </c>
      <c r="AM42" s="39">
        <f t="shared" si="47"/>
        <v>0.13499999999999091</v>
      </c>
      <c r="AN42" s="51">
        <f t="shared" si="48"/>
        <v>-0.20199999999999818</v>
      </c>
      <c r="AO42" s="51">
        <f t="shared" si="49"/>
        <v>-0.11700000000000443</v>
      </c>
      <c r="AP42" s="51">
        <f t="shared" si="50"/>
        <v>-2.9363636363637046E-2</v>
      </c>
      <c r="AQ42" s="31"/>
      <c r="AR42" s="18"/>
      <c r="AS42" s="39">
        <f t="shared" si="39"/>
        <v>-0.11899999999999977</v>
      </c>
      <c r="AT42" s="39">
        <f t="shared" si="40"/>
        <v>-1.7499999999998295E-2</v>
      </c>
      <c r="AU42" s="39">
        <f t="shared" si="51"/>
        <v>0.19350000000000023</v>
      </c>
      <c r="AV42" s="39">
        <f t="shared" si="52"/>
        <v>-0.38700000000000045</v>
      </c>
      <c r="AW42" s="39">
        <f t="shared" si="53"/>
        <v>0.19799999999999329</v>
      </c>
      <c r="AX42" s="39">
        <f t="shared" si="54"/>
        <v>-0.13499999999999801</v>
      </c>
      <c r="AY42" s="39">
        <f t="shared" si="55"/>
        <v>1.9999999999996021E-2</v>
      </c>
      <c r="AZ42" s="38">
        <f t="shared" si="56"/>
        <v>-4.7750000000000625E-2</v>
      </c>
    </row>
    <row r="43" spans="1:52" x14ac:dyDescent="0.3">
      <c r="A43" s="3">
        <v>152</v>
      </c>
      <c r="B43" s="37">
        <v>2322364.1510000001</v>
      </c>
      <c r="C43" s="37">
        <v>6025789.0800000001</v>
      </c>
      <c r="D43" s="37">
        <v>83.674000000000007</v>
      </c>
      <c r="E43" s="161" t="s">
        <v>120</v>
      </c>
      <c r="F43" s="81">
        <v>2011</v>
      </c>
      <c r="G43" s="37">
        <v>84.683999999999997</v>
      </c>
      <c r="H43" s="81">
        <v>2012</v>
      </c>
      <c r="I43" s="37">
        <v>84.671000000000006</v>
      </c>
      <c r="J43" s="81">
        <v>2022</v>
      </c>
      <c r="K43" s="58">
        <v>84.683999999999997</v>
      </c>
      <c r="L43" s="17">
        <v>84.671000000000006</v>
      </c>
      <c r="M43" s="17">
        <v>84.611999999999995</v>
      </c>
      <c r="N43" s="17">
        <v>84.653999999999996</v>
      </c>
      <c r="O43" s="17">
        <v>84.51</v>
      </c>
      <c r="P43" s="17">
        <v>84.656000000000006</v>
      </c>
      <c r="Q43" s="17">
        <v>84.543999999999997</v>
      </c>
      <c r="R43" s="37">
        <v>84.361999999999995</v>
      </c>
      <c r="S43" s="17">
        <v>84.082999999999998</v>
      </c>
      <c r="T43" s="37">
        <v>84.072999999999993</v>
      </c>
      <c r="U43" s="37">
        <v>84.046000000000006</v>
      </c>
      <c r="V43" s="37">
        <v>84.069000000000003</v>
      </c>
      <c r="W43" s="37">
        <v>84.04</v>
      </c>
      <c r="X43" s="37">
        <v>83.878</v>
      </c>
      <c r="Y43" s="37">
        <v>83.983000000000004</v>
      </c>
      <c r="Z43" s="37">
        <v>84.033000000000001</v>
      </c>
      <c r="AA43" s="45">
        <v>84.028999999999996</v>
      </c>
      <c r="AB43" s="45">
        <v>83.802000000000007</v>
      </c>
      <c r="AC43" s="45">
        <v>83.772999999999996</v>
      </c>
      <c r="AD43" s="90">
        <v>83.674000000000007</v>
      </c>
      <c r="AE43" s="90">
        <v>83.620999999999995</v>
      </c>
      <c r="AF43" s="58">
        <f t="shared" ref="AF43:AF52" si="57">M43-K43</f>
        <v>-7.2000000000002728E-2</v>
      </c>
      <c r="AG43" s="17">
        <f t="shared" ref="AG43:AG52" si="58">O43-M43</f>
        <v>-0.10199999999998965</v>
      </c>
      <c r="AH43" s="19">
        <f t="shared" si="34"/>
        <v>3.3999999999991815E-2</v>
      </c>
      <c r="AI43" s="39">
        <f t="shared" si="35"/>
        <v>-0.46099999999999852</v>
      </c>
      <c r="AJ43" s="39">
        <f t="shared" si="36"/>
        <v>-3.6999999999991928E-2</v>
      </c>
      <c r="AK43" s="39">
        <f t="shared" si="45"/>
        <v>-6.0000000000002274E-3</v>
      </c>
      <c r="AL43" s="39">
        <f t="shared" si="46"/>
        <v>-5.700000000000216E-2</v>
      </c>
      <c r="AM43" s="39">
        <f t="shared" si="47"/>
        <v>4.5999999999992269E-2</v>
      </c>
      <c r="AN43" s="51">
        <f t="shared" si="48"/>
        <v>-0.22699999999998965</v>
      </c>
      <c r="AO43" s="51">
        <f t="shared" si="49"/>
        <v>-0.12800000000000011</v>
      </c>
      <c r="AP43" s="51">
        <f t="shared" si="50"/>
        <v>-9.1818181818180994E-2</v>
      </c>
      <c r="AQ43" s="31">
        <f t="shared" ref="AQ43:AQ52" si="59">N43-L43</f>
        <v>-1.7000000000010118E-2</v>
      </c>
      <c r="AR43" s="19">
        <f t="shared" ref="AR43:AR52" si="60">P43-N43</f>
        <v>2.0000000000095497E-3</v>
      </c>
      <c r="AS43" s="39">
        <f t="shared" si="39"/>
        <v>-0.29400000000001114</v>
      </c>
      <c r="AT43" s="39">
        <f t="shared" si="40"/>
        <v>-0.28900000000000148</v>
      </c>
      <c r="AU43" s="39">
        <f t="shared" si="51"/>
        <v>-3.9999999999906777E-3</v>
      </c>
      <c r="AV43" s="39">
        <f t="shared" si="52"/>
        <v>-0.1910000000000025</v>
      </c>
      <c r="AW43" s="39">
        <f t="shared" si="53"/>
        <v>0.15500000000000114</v>
      </c>
      <c r="AX43" s="39">
        <f t="shared" si="54"/>
        <v>-0.13000000000000256</v>
      </c>
      <c r="AY43" s="39">
        <f t="shared" si="55"/>
        <v>-0.15200000000000102</v>
      </c>
      <c r="AZ43" s="39">
        <f t="shared" si="56"/>
        <v>-0.10500000000000113</v>
      </c>
    </row>
    <row r="44" spans="1:52" x14ac:dyDescent="0.3">
      <c r="A44" s="3">
        <v>153</v>
      </c>
      <c r="B44" s="37">
        <v>2183877.304</v>
      </c>
      <c r="C44" s="37">
        <v>6142113.6100000003</v>
      </c>
      <c r="D44" s="37">
        <v>153.71600000000001</v>
      </c>
      <c r="E44" s="161" t="s">
        <v>53</v>
      </c>
      <c r="F44" s="81">
        <v>2011</v>
      </c>
      <c r="G44" s="37">
        <v>154.68600000000001</v>
      </c>
      <c r="H44" s="81">
        <v>2012</v>
      </c>
      <c r="I44" s="37">
        <v>154.66999999999999</v>
      </c>
      <c r="J44" s="81">
        <v>2022</v>
      </c>
      <c r="K44" s="58">
        <v>154.68600000000001</v>
      </c>
      <c r="L44" s="17">
        <v>154.66999999999999</v>
      </c>
      <c r="M44" s="17">
        <v>154.69999999999999</v>
      </c>
      <c r="N44" s="17">
        <v>154.62899999999999</v>
      </c>
      <c r="O44" s="17">
        <v>154.55000000000001</v>
      </c>
      <c r="P44" s="17">
        <v>154.458</v>
      </c>
      <c r="Q44" s="17">
        <v>154.46700000000001</v>
      </c>
      <c r="R44" s="37">
        <v>154.31800000000001</v>
      </c>
      <c r="S44" s="17">
        <v>154.23699999999999</v>
      </c>
      <c r="T44" s="37">
        <v>154.24</v>
      </c>
      <c r="U44" s="37">
        <v>154.10499999999999</v>
      </c>
      <c r="V44" s="37">
        <v>154.09800000000001</v>
      </c>
      <c r="W44" s="37">
        <v>154.1</v>
      </c>
      <c r="X44" s="37">
        <v>154.15899999999999</v>
      </c>
      <c r="Y44" s="37">
        <v>154.03899999999999</v>
      </c>
      <c r="Z44" s="37">
        <v>154.03700000000001</v>
      </c>
      <c r="AA44" s="45">
        <v>153.934</v>
      </c>
      <c r="AB44" s="45">
        <v>153.86099999999999</v>
      </c>
      <c r="AC44" s="45">
        <v>153.82900000000001</v>
      </c>
      <c r="AD44" s="90">
        <v>153.71600000000001</v>
      </c>
      <c r="AE44" s="90">
        <v>153.66800000000001</v>
      </c>
      <c r="AF44" s="58">
        <f t="shared" si="57"/>
        <v>1.3999999999981583E-2</v>
      </c>
      <c r="AG44" s="17">
        <f t="shared" si="58"/>
        <v>-0.14999999999997726</v>
      </c>
      <c r="AH44" s="19">
        <f t="shared" si="34"/>
        <v>-8.2999999999998408E-2</v>
      </c>
      <c r="AI44" s="39">
        <f t="shared" si="35"/>
        <v>-0.23000000000001819</v>
      </c>
      <c r="AJ44" s="39">
        <f t="shared" si="36"/>
        <v>-0.132000000000005</v>
      </c>
      <c r="AK44" s="39">
        <f t="shared" si="45"/>
        <v>-4.9999999999954525E-3</v>
      </c>
      <c r="AL44" s="39">
        <f t="shared" si="46"/>
        <v>-6.1000000000007049E-2</v>
      </c>
      <c r="AM44" s="39">
        <f t="shared" si="47"/>
        <v>-0.10499999999998977</v>
      </c>
      <c r="AN44" s="51">
        <f t="shared" si="48"/>
        <v>-7.3000000000007503E-2</v>
      </c>
      <c r="AO44" s="51">
        <f t="shared" si="49"/>
        <v>-0.14499999999998181</v>
      </c>
      <c r="AP44" s="51">
        <f t="shared" si="50"/>
        <v>-8.8181818181818084E-2</v>
      </c>
      <c r="AQ44" s="31">
        <f t="shared" si="59"/>
        <v>-4.0999999999996817E-2</v>
      </c>
      <c r="AR44" s="19">
        <f t="shared" si="60"/>
        <v>-0.17099999999999227</v>
      </c>
      <c r="AS44" s="39">
        <f t="shared" si="39"/>
        <v>-0.13999999999998636</v>
      </c>
      <c r="AT44" s="39">
        <f t="shared" si="40"/>
        <v>-7.8000000000002956E-2</v>
      </c>
      <c r="AU44" s="39">
        <f t="shared" si="51"/>
        <v>-0.14199999999999591</v>
      </c>
      <c r="AV44" s="39">
        <f t="shared" si="52"/>
        <v>6.0999999999978627E-2</v>
      </c>
      <c r="AW44" s="39">
        <f t="shared" si="53"/>
        <v>-0.12199999999998568</v>
      </c>
      <c r="AX44" s="39">
        <f t="shared" si="54"/>
        <v>-0.1039999999999992</v>
      </c>
      <c r="AY44" s="39">
        <f t="shared" si="55"/>
        <v>-0.16100000000000136</v>
      </c>
      <c r="AZ44" s="39">
        <f t="shared" si="56"/>
        <v>-0.10019999999999811</v>
      </c>
    </row>
    <row r="45" spans="1:52" x14ac:dyDescent="0.3">
      <c r="A45" s="3">
        <v>154</v>
      </c>
      <c r="B45" s="37">
        <v>2149040.176</v>
      </c>
      <c r="C45" s="37">
        <v>6261382.7039999999</v>
      </c>
      <c r="D45" s="37">
        <v>229.489</v>
      </c>
      <c r="E45" s="161" t="s">
        <v>121</v>
      </c>
      <c r="F45" s="81">
        <v>2011</v>
      </c>
      <c r="G45" s="37">
        <v>229.93899999999999</v>
      </c>
      <c r="H45" s="81">
        <v>2012</v>
      </c>
      <c r="I45" s="37">
        <v>229.84200000000001</v>
      </c>
      <c r="J45" s="81">
        <v>2022</v>
      </c>
      <c r="K45" s="58">
        <v>229.93899999999999</v>
      </c>
      <c r="L45" s="17">
        <v>229.84200000000001</v>
      </c>
      <c r="M45" s="17">
        <v>229.90100000000001</v>
      </c>
      <c r="N45" s="17">
        <v>229.84200000000001</v>
      </c>
      <c r="O45" s="17">
        <v>229.78</v>
      </c>
      <c r="P45" s="17">
        <v>229.77099999999999</v>
      </c>
      <c r="Q45" s="17">
        <v>229.90299999999999</v>
      </c>
      <c r="R45" s="37">
        <v>229.61</v>
      </c>
      <c r="S45" s="17">
        <v>229.76400000000001</v>
      </c>
      <c r="T45" s="37">
        <v>229.58799999999999</v>
      </c>
      <c r="U45" s="37">
        <v>229.625</v>
      </c>
      <c r="V45" s="37">
        <v>229.60300000000001</v>
      </c>
      <c r="W45" s="37">
        <v>229.61</v>
      </c>
      <c r="X45" s="37">
        <v>229.73699999999999</v>
      </c>
      <c r="Y45" s="37">
        <v>229.65199999999999</v>
      </c>
      <c r="Z45" s="37">
        <v>229.67400000000001</v>
      </c>
      <c r="AA45" s="45">
        <v>229.54</v>
      </c>
      <c r="AB45" s="45">
        <v>229.61</v>
      </c>
      <c r="AC45" s="45">
        <v>229.749</v>
      </c>
      <c r="AD45" s="90">
        <v>229.489</v>
      </c>
      <c r="AE45" s="90">
        <v>229.58600000000001</v>
      </c>
      <c r="AF45" s="58">
        <f t="shared" si="57"/>
        <v>-3.7999999999982492E-2</v>
      </c>
      <c r="AG45" s="17">
        <f t="shared" si="58"/>
        <v>-0.12100000000000932</v>
      </c>
      <c r="AH45" s="19">
        <f t="shared" si="34"/>
        <v>0.12299999999999045</v>
      </c>
      <c r="AI45" s="39">
        <f t="shared" si="35"/>
        <v>-0.13899999999998158</v>
      </c>
      <c r="AJ45" s="39">
        <f t="shared" si="36"/>
        <v>-0.13900000000001</v>
      </c>
      <c r="AK45" s="39">
        <f t="shared" si="45"/>
        <v>-1.4999999999986358E-2</v>
      </c>
      <c r="AL45" s="39">
        <f t="shared" si="46"/>
        <v>4.199999999997317E-2</v>
      </c>
      <c r="AM45" s="39">
        <f t="shared" si="47"/>
        <v>-0.11199999999999477</v>
      </c>
      <c r="AN45" s="51">
        <f t="shared" si="48"/>
        <v>7.00000000000216E-2</v>
      </c>
      <c r="AO45" s="51">
        <f t="shared" si="49"/>
        <v>-0.12100000000000932</v>
      </c>
      <c r="AP45" s="51">
        <f t="shared" si="50"/>
        <v>-4.0909090909089875E-2</v>
      </c>
      <c r="AQ45" s="31">
        <f t="shared" si="59"/>
        <v>0</v>
      </c>
      <c r="AR45" s="19">
        <f t="shared" si="60"/>
        <v>-7.1000000000026375E-2</v>
      </c>
      <c r="AS45" s="39">
        <f t="shared" si="39"/>
        <v>-0.16099999999997294</v>
      </c>
      <c r="AT45" s="39">
        <f t="shared" si="40"/>
        <v>-2.2000000000019782E-2</v>
      </c>
      <c r="AU45" s="39">
        <f t="shared" si="51"/>
        <v>1.5000000000014779E-2</v>
      </c>
      <c r="AV45" s="39">
        <f t="shared" si="52"/>
        <v>0.13399999999998613</v>
      </c>
      <c r="AW45" s="39">
        <f t="shared" si="53"/>
        <v>-6.2999999999988177E-2</v>
      </c>
      <c r="AX45" s="39">
        <f t="shared" si="54"/>
        <v>3.7499999999994316E-2</v>
      </c>
      <c r="AY45" s="39">
        <f t="shared" si="55"/>
        <v>-0.16299999999998249</v>
      </c>
      <c r="AZ45" s="39">
        <f t="shared" si="56"/>
        <v>-2.5600000000000022E-2</v>
      </c>
    </row>
    <row r="46" spans="1:52" x14ac:dyDescent="0.3">
      <c r="A46" s="3">
        <v>155</v>
      </c>
      <c r="B46" s="37">
        <v>2319104.4840000002</v>
      </c>
      <c r="C46" s="37">
        <v>6078482.358</v>
      </c>
      <c r="D46" s="37">
        <v>108.547</v>
      </c>
      <c r="E46" s="161" t="s">
        <v>65</v>
      </c>
      <c r="F46" s="81">
        <v>2011</v>
      </c>
      <c r="G46" s="37">
        <v>110.751</v>
      </c>
      <c r="H46" s="81">
        <v>2012</v>
      </c>
      <c r="I46" s="37">
        <v>110.697</v>
      </c>
      <c r="J46" s="81">
        <v>2022</v>
      </c>
      <c r="K46" s="58">
        <v>110.751</v>
      </c>
      <c r="L46" s="17">
        <v>110.697</v>
      </c>
      <c r="M46" s="17">
        <v>110.488</v>
      </c>
      <c r="N46" s="17">
        <v>110.51</v>
      </c>
      <c r="O46" s="17">
        <v>110.42</v>
      </c>
      <c r="P46" s="17">
        <v>110.24</v>
      </c>
      <c r="Q46" s="17">
        <v>110.169</v>
      </c>
      <c r="R46" s="37">
        <v>109.723</v>
      </c>
      <c r="S46" s="17">
        <v>109.60899999999999</v>
      </c>
      <c r="T46" s="37">
        <v>109.55500000000001</v>
      </c>
      <c r="U46" s="37">
        <v>109.363</v>
      </c>
      <c r="V46" s="37">
        <v>109.41800000000001</v>
      </c>
      <c r="W46" s="37">
        <v>109.39</v>
      </c>
      <c r="X46" s="37">
        <v>109.10299999999999</v>
      </c>
      <c r="Y46" s="37">
        <v>109.19499999999999</v>
      </c>
      <c r="Z46" s="37">
        <v>109.182</v>
      </c>
      <c r="AA46" s="45">
        <v>109.083</v>
      </c>
      <c r="AB46" s="45">
        <v>108.83199999999999</v>
      </c>
      <c r="AC46" s="45">
        <v>108.633</v>
      </c>
      <c r="AD46" s="90">
        <v>108.547</v>
      </c>
      <c r="AE46" s="90">
        <v>108.33799999999999</v>
      </c>
      <c r="AF46" s="58">
        <f t="shared" si="57"/>
        <v>-0.26300000000000523</v>
      </c>
      <c r="AG46" s="17">
        <f t="shared" si="58"/>
        <v>-6.799999999999784E-2</v>
      </c>
      <c r="AH46" s="19">
        <f t="shared" si="34"/>
        <v>-0.25100000000000477</v>
      </c>
      <c r="AI46" s="39">
        <f t="shared" si="35"/>
        <v>-0.56000000000000227</v>
      </c>
      <c r="AJ46" s="39">
        <f t="shared" si="36"/>
        <v>-0.24599999999999511</v>
      </c>
      <c r="AK46" s="39">
        <f t="shared" si="45"/>
        <v>2.7000000000001023E-2</v>
      </c>
      <c r="AL46" s="39">
        <f t="shared" si="46"/>
        <v>-0.19500000000000739</v>
      </c>
      <c r="AM46" s="39">
        <f t="shared" si="47"/>
        <v>-0.11199999999999477</v>
      </c>
      <c r="AN46" s="51">
        <f t="shared" si="48"/>
        <v>-0.25100000000000477</v>
      </c>
      <c r="AO46" s="51">
        <f t="shared" si="49"/>
        <v>-0.28499999999999659</v>
      </c>
      <c r="AP46" s="51">
        <f t="shared" si="50"/>
        <v>-0.20036363636363708</v>
      </c>
      <c r="AQ46" s="31">
        <f t="shared" si="59"/>
        <v>-0.18699999999999761</v>
      </c>
      <c r="AR46" s="19">
        <f t="shared" si="60"/>
        <v>-0.27000000000001023</v>
      </c>
      <c r="AS46" s="39">
        <f t="shared" si="39"/>
        <v>-0.51699999999999591</v>
      </c>
      <c r="AT46" s="39">
        <f t="shared" si="40"/>
        <v>-0.16799999999999216</v>
      </c>
      <c r="AU46" s="39">
        <f t="shared" si="51"/>
        <v>-0.13700000000000045</v>
      </c>
      <c r="AV46" s="39">
        <f t="shared" si="52"/>
        <v>-0.31500000000001194</v>
      </c>
      <c r="AW46" s="39">
        <f t="shared" si="53"/>
        <v>7.9000000000007731E-2</v>
      </c>
      <c r="AX46" s="39">
        <f t="shared" si="54"/>
        <v>-0.2745000000000033</v>
      </c>
      <c r="AY46" s="39">
        <f t="shared" si="55"/>
        <v>-0.29500000000000171</v>
      </c>
      <c r="AZ46" s="39">
        <f t="shared" si="56"/>
        <v>-0.23590000000000089</v>
      </c>
    </row>
    <row r="47" spans="1:52" x14ac:dyDescent="0.3">
      <c r="A47" s="3">
        <v>156</v>
      </c>
      <c r="B47" s="37">
        <v>2292292.0580000002</v>
      </c>
      <c r="C47" s="37">
        <v>6098548.5729999999</v>
      </c>
      <c r="D47" s="37">
        <v>110.3</v>
      </c>
      <c r="E47" s="161" t="s">
        <v>66</v>
      </c>
      <c r="F47" s="81">
        <v>2011</v>
      </c>
      <c r="G47" s="37">
        <v>113.563</v>
      </c>
      <c r="H47" s="81">
        <v>2012</v>
      </c>
      <c r="I47" s="37">
        <v>113.199</v>
      </c>
      <c r="J47" s="81">
        <v>2022</v>
      </c>
      <c r="K47" s="58">
        <v>113.563</v>
      </c>
      <c r="L47" s="17">
        <v>113.199</v>
      </c>
      <c r="M47" s="17">
        <v>113.01300000000001</v>
      </c>
      <c r="N47" s="17">
        <v>112.643</v>
      </c>
      <c r="O47" s="17">
        <v>112.54</v>
      </c>
      <c r="P47" s="17">
        <v>112.17</v>
      </c>
      <c r="Q47" s="17">
        <v>112.129</v>
      </c>
      <c r="R47" s="37">
        <v>111.652</v>
      </c>
      <c r="S47" s="17">
        <v>111.482</v>
      </c>
      <c r="T47" s="37">
        <v>111.29600000000001</v>
      </c>
      <c r="U47" s="37">
        <v>111.19199999999999</v>
      </c>
      <c r="V47" s="37">
        <v>111.196</v>
      </c>
      <c r="W47" s="37">
        <v>111.2</v>
      </c>
      <c r="X47" s="37">
        <v>110.81699999999999</v>
      </c>
      <c r="Y47" s="37">
        <v>110.884</v>
      </c>
      <c r="Z47" s="37">
        <v>110.878</v>
      </c>
      <c r="AA47" s="45">
        <v>110.81699999999999</v>
      </c>
      <c r="AB47" s="45">
        <v>110.532</v>
      </c>
      <c r="AC47" s="45">
        <v>110.351</v>
      </c>
      <c r="AD47" s="90">
        <v>110.3</v>
      </c>
      <c r="AE47" s="90">
        <v>110.017</v>
      </c>
      <c r="AF47" s="58">
        <f t="shared" si="57"/>
        <v>-0.54999999999999716</v>
      </c>
      <c r="AG47" s="17">
        <f t="shared" si="58"/>
        <v>-0.47299999999999898</v>
      </c>
      <c r="AH47" s="19">
        <f t="shared" si="34"/>
        <v>-0.41100000000000136</v>
      </c>
      <c r="AI47" s="39">
        <f t="shared" si="35"/>
        <v>-0.64700000000000557</v>
      </c>
      <c r="AJ47" s="39">
        <f t="shared" si="36"/>
        <v>-0.29000000000000625</v>
      </c>
      <c r="AK47" s="39">
        <f t="shared" si="45"/>
        <v>8.0000000000097771E-3</v>
      </c>
      <c r="AL47" s="39">
        <f t="shared" si="46"/>
        <v>-0.3160000000000025</v>
      </c>
      <c r="AM47" s="39">
        <f t="shared" si="47"/>
        <v>-6.7000000000007276E-2</v>
      </c>
      <c r="AN47" s="51">
        <f t="shared" si="48"/>
        <v>-0.28499999999999659</v>
      </c>
      <c r="AO47" s="51">
        <f t="shared" si="49"/>
        <v>-0.23199999999999932</v>
      </c>
      <c r="AP47" s="51">
        <f t="shared" si="50"/>
        <v>-0.29663636363636409</v>
      </c>
      <c r="AQ47" s="31">
        <f t="shared" si="59"/>
        <v>-0.55599999999999739</v>
      </c>
      <c r="AR47" s="19">
        <f t="shared" si="60"/>
        <v>-0.47299999999999898</v>
      </c>
      <c r="AS47" s="39">
        <f t="shared" si="39"/>
        <v>-0.51800000000000068</v>
      </c>
      <c r="AT47" s="39">
        <f t="shared" si="40"/>
        <v>-0.35599999999999454</v>
      </c>
      <c r="AU47" s="39">
        <f t="shared" si="51"/>
        <v>-0.10000000000000853</v>
      </c>
      <c r="AV47" s="39">
        <f t="shared" si="52"/>
        <v>-0.37900000000000489</v>
      </c>
      <c r="AW47" s="39">
        <f t="shared" si="53"/>
        <v>6.1000000000007049E-2</v>
      </c>
      <c r="AX47" s="39">
        <f t="shared" si="54"/>
        <v>-0.26350000000000051</v>
      </c>
      <c r="AY47" s="39">
        <f t="shared" si="55"/>
        <v>-0.33400000000000318</v>
      </c>
      <c r="AZ47" s="39">
        <f t="shared" si="56"/>
        <v>-0.3182000000000002</v>
      </c>
    </row>
    <row r="48" spans="1:52" x14ac:dyDescent="0.3">
      <c r="A48" s="3">
        <v>157</v>
      </c>
      <c r="B48" s="37">
        <v>2263167.6159999999</v>
      </c>
      <c r="C48" s="37">
        <v>6102759.1050000004</v>
      </c>
      <c r="D48" s="37">
        <v>112.824</v>
      </c>
      <c r="E48" s="161" t="s">
        <v>122</v>
      </c>
      <c r="F48" s="81">
        <v>2011</v>
      </c>
      <c r="G48" s="37">
        <v>114.879</v>
      </c>
      <c r="H48" s="81">
        <v>2012</v>
      </c>
      <c r="I48" s="37">
        <v>114.828</v>
      </c>
      <c r="J48" s="81">
        <v>2022</v>
      </c>
      <c r="K48" s="58">
        <v>114.879</v>
      </c>
      <c r="L48" s="17">
        <v>114.828</v>
      </c>
      <c r="M48" s="17">
        <v>114.71299999999999</v>
      </c>
      <c r="N48" s="17">
        <v>114.584</v>
      </c>
      <c r="O48" s="17">
        <v>114.5</v>
      </c>
      <c r="P48" s="17">
        <v>114.37</v>
      </c>
      <c r="Q48" s="17">
        <v>114.316</v>
      </c>
      <c r="R48" s="37">
        <v>114.10899999999999</v>
      </c>
      <c r="S48" s="17">
        <v>113.947</v>
      </c>
      <c r="T48" s="37">
        <v>113.92400000000001</v>
      </c>
      <c r="U48" s="37">
        <v>113.741</v>
      </c>
      <c r="V48" s="37">
        <v>113.62</v>
      </c>
      <c r="W48" s="37">
        <v>113.61</v>
      </c>
      <c r="X48" s="37">
        <v>113.447</v>
      </c>
      <c r="Y48" s="37">
        <v>113.41800000000001</v>
      </c>
      <c r="Z48" s="37">
        <v>113.33</v>
      </c>
      <c r="AA48" s="45">
        <v>113.268</v>
      </c>
      <c r="AB48" s="45">
        <v>113.07599999999999</v>
      </c>
      <c r="AC48" s="45">
        <v>112.91800000000001</v>
      </c>
      <c r="AD48" s="90">
        <v>112.824</v>
      </c>
      <c r="AE48" s="90">
        <v>112.666</v>
      </c>
      <c r="AF48" s="58">
        <f t="shared" si="57"/>
        <v>-0.16600000000001103</v>
      </c>
      <c r="AG48" s="17">
        <f t="shared" si="58"/>
        <v>-0.21299999999999386</v>
      </c>
      <c r="AH48" s="19">
        <f t="shared" si="34"/>
        <v>-0.1839999999999975</v>
      </c>
      <c r="AI48" s="39">
        <f t="shared" si="35"/>
        <v>-0.36899999999999977</v>
      </c>
      <c r="AJ48" s="39">
        <f t="shared" si="36"/>
        <v>-0.20600000000000307</v>
      </c>
      <c r="AK48" s="39">
        <f t="shared" si="45"/>
        <v>-0.13100000000000023</v>
      </c>
      <c r="AL48" s="39">
        <f t="shared" si="46"/>
        <v>-0.19199999999999307</v>
      </c>
      <c r="AM48" s="39">
        <f t="shared" si="47"/>
        <v>-0.15000000000000568</v>
      </c>
      <c r="AN48" s="51">
        <f t="shared" si="48"/>
        <v>-0.19200000000000728</v>
      </c>
      <c r="AO48" s="51">
        <f t="shared" si="49"/>
        <v>-0.25199999999999534</v>
      </c>
      <c r="AP48" s="51">
        <f t="shared" si="50"/>
        <v>-0.18681818181818244</v>
      </c>
      <c r="AQ48" s="31">
        <f t="shared" si="59"/>
        <v>-0.24399999999999977</v>
      </c>
      <c r="AR48" s="19">
        <f t="shared" si="60"/>
        <v>-0.21399999999999864</v>
      </c>
      <c r="AS48" s="39">
        <f t="shared" si="39"/>
        <v>-0.26100000000000989</v>
      </c>
      <c r="AT48" s="39">
        <f t="shared" si="40"/>
        <v>-0.18499999999998806</v>
      </c>
      <c r="AU48" s="39">
        <f t="shared" si="51"/>
        <v>-0.30400000000000205</v>
      </c>
      <c r="AV48" s="39">
        <f t="shared" si="52"/>
        <v>-0.17300000000000182</v>
      </c>
      <c r="AW48" s="39">
        <f t="shared" si="53"/>
        <v>-0.11700000000000443</v>
      </c>
      <c r="AX48" s="39">
        <f t="shared" si="54"/>
        <v>-0.20599999999999596</v>
      </c>
      <c r="AY48" s="39">
        <f t="shared" si="55"/>
        <v>-0.25200000000000955</v>
      </c>
      <c r="AZ48" s="39">
        <f t="shared" si="56"/>
        <v>-0.21620000000000061</v>
      </c>
    </row>
    <row r="49" spans="1:52" x14ac:dyDescent="0.3">
      <c r="A49" s="3">
        <v>158</v>
      </c>
      <c r="B49" s="37">
        <v>2198310.1880000001</v>
      </c>
      <c r="C49" s="37">
        <v>6154768.9349999996</v>
      </c>
      <c r="D49" s="37">
        <v>148.96199999999999</v>
      </c>
      <c r="E49" s="161" t="s">
        <v>68</v>
      </c>
      <c r="F49" s="81">
        <v>2011</v>
      </c>
      <c r="G49" s="37">
        <v>150.68299999999999</v>
      </c>
      <c r="H49" s="81">
        <v>2012</v>
      </c>
      <c r="I49" s="37">
        <v>150.602</v>
      </c>
      <c r="J49" s="81">
        <v>2022</v>
      </c>
      <c r="K49" s="58">
        <v>150.68299999999999</v>
      </c>
      <c r="L49" s="17">
        <v>150.602</v>
      </c>
      <c r="M49" s="17">
        <v>150.661</v>
      </c>
      <c r="N49" s="17">
        <v>150.547</v>
      </c>
      <c r="O49" s="17">
        <v>150.44999999999999</v>
      </c>
      <c r="P49" s="17">
        <v>150.30000000000001</v>
      </c>
      <c r="Q49" s="17">
        <v>150.279</v>
      </c>
      <c r="R49" s="37">
        <v>150.023</v>
      </c>
      <c r="S49" s="17">
        <v>149.964</v>
      </c>
      <c r="T49" s="37">
        <v>149.94399999999999</v>
      </c>
      <c r="U49" s="37">
        <v>149.732</v>
      </c>
      <c r="V49" s="37">
        <v>149.602</v>
      </c>
      <c r="W49" s="37">
        <v>149.65</v>
      </c>
      <c r="X49" s="37">
        <v>149.63</v>
      </c>
      <c r="Y49" s="37">
        <v>149.499</v>
      </c>
      <c r="Z49" s="37">
        <v>149.43299999999999</v>
      </c>
      <c r="AA49" s="45">
        <v>149.32300000000001</v>
      </c>
      <c r="AB49" s="45">
        <v>149.18600000000001</v>
      </c>
      <c r="AC49" s="45">
        <v>149.13300000000001</v>
      </c>
      <c r="AD49" s="90">
        <v>148.96199999999999</v>
      </c>
      <c r="AE49" s="90">
        <v>148.90799999999999</v>
      </c>
      <c r="AF49" s="58">
        <f t="shared" si="57"/>
        <v>-2.199999999999136E-2</v>
      </c>
      <c r="AG49" s="17">
        <f t="shared" si="58"/>
        <v>-0.21100000000001273</v>
      </c>
      <c r="AH49" s="19">
        <f t="shared" si="34"/>
        <v>-0.17099999999999227</v>
      </c>
      <c r="AI49" s="39">
        <f t="shared" si="35"/>
        <v>-0.31499999999999773</v>
      </c>
      <c r="AJ49" s="39">
        <f t="shared" si="36"/>
        <v>-0.23199999999999932</v>
      </c>
      <c r="AK49" s="39">
        <f t="shared" si="45"/>
        <v>-8.1999999999993634E-2</v>
      </c>
      <c r="AL49" s="39">
        <f t="shared" si="46"/>
        <v>-0.15100000000001046</v>
      </c>
      <c r="AM49" s="39">
        <f t="shared" si="47"/>
        <v>-0.17599999999998772</v>
      </c>
      <c r="AN49" s="51">
        <f t="shared" si="48"/>
        <v>-0.13700000000000045</v>
      </c>
      <c r="AO49" s="51">
        <f t="shared" si="49"/>
        <v>-0.22400000000001796</v>
      </c>
      <c r="AP49" s="51">
        <f t="shared" si="50"/>
        <v>-0.15645454545454579</v>
      </c>
      <c r="AQ49" s="31">
        <f t="shared" si="59"/>
        <v>-5.5000000000006821E-2</v>
      </c>
      <c r="AR49" s="19">
        <f t="shared" si="60"/>
        <v>-0.24699999999998568</v>
      </c>
      <c r="AS49" s="39">
        <f t="shared" si="39"/>
        <v>-0.27700000000001523</v>
      </c>
      <c r="AT49" s="39">
        <f t="shared" si="40"/>
        <v>-7.9000000000007731E-2</v>
      </c>
      <c r="AU49" s="39">
        <f t="shared" si="51"/>
        <v>-0.34199999999998454</v>
      </c>
      <c r="AV49" s="39">
        <f t="shared" si="52"/>
        <v>2.7999999999991587E-2</v>
      </c>
      <c r="AW49" s="39">
        <f t="shared" si="53"/>
        <v>-0.19700000000000273</v>
      </c>
      <c r="AX49" s="39">
        <f t="shared" si="54"/>
        <v>-0.14999999999999147</v>
      </c>
      <c r="AY49" s="39">
        <f t="shared" si="55"/>
        <v>-0.22500000000002274</v>
      </c>
      <c r="AZ49" s="39">
        <f t="shared" si="56"/>
        <v>-0.16940000000000169</v>
      </c>
    </row>
    <row r="50" spans="1:52" x14ac:dyDescent="0.3">
      <c r="A50" s="3">
        <v>159</v>
      </c>
      <c r="B50" s="37">
        <v>2186287.7710000002</v>
      </c>
      <c r="C50" s="37">
        <v>6159874.9299999997</v>
      </c>
      <c r="D50" s="37">
        <v>150.46799999999999</v>
      </c>
      <c r="E50" s="161" t="s">
        <v>23</v>
      </c>
      <c r="F50" s="81">
        <v>2011</v>
      </c>
      <c r="G50" s="37">
        <v>151.73699999999999</v>
      </c>
      <c r="H50" s="81">
        <v>2012</v>
      </c>
      <c r="I50" s="37">
        <v>151.67400000000001</v>
      </c>
      <c r="J50" s="81">
        <v>2022</v>
      </c>
      <c r="K50" s="58">
        <v>151.73699999999999</v>
      </c>
      <c r="L50" s="17">
        <v>151.67400000000001</v>
      </c>
      <c r="M50" s="17">
        <v>151.74799999999999</v>
      </c>
      <c r="N50" s="17">
        <v>151.63499999999999</v>
      </c>
      <c r="O50" s="17">
        <v>151.57</v>
      </c>
      <c r="P50" s="17">
        <v>151.44</v>
      </c>
      <c r="Q50" s="17">
        <v>151.447</v>
      </c>
      <c r="R50" s="37">
        <v>151.274</v>
      </c>
      <c r="S50" s="17">
        <v>151.17400000000001</v>
      </c>
      <c r="T50" s="37">
        <v>151.184</v>
      </c>
      <c r="U50" s="37">
        <v>150.995</v>
      </c>
      <c r="V50" s="37">
        <v>150.946</v>
      </c>
      <c r="W50" s="37">
        <v>150.99</v>
      </c>
      <c r="X50" s="37">
        <v>151.005</v>
      </c>
      <c r="Y50" s="37">
        <v>150.88900000000001</v>
      </c>
      <c r="Z50" s="37">
        <v>150.84200000000001</v>
      </c>
      <c r="AA50" s="45">
        <v>150.738</v>
      </c>
      <c r="AB50" s="45">
        <v>150.66999999999999</v>
      </c>
      <c r="AC50" s="45">
        <v>150.602</v>
      </c>
      <c r="AD50" s="90">
        <v>150.46799999999999</v>
      </c>
      <c r="AE50" s="90">
        <v>150.41999999999999</v>
      </c>
      <c r="AF50" s="58">
        <f t="shared" si="57"/>
        <v>1.099999999999568E-2</v>
      </c>
      <c r="AG50" s="17">
        <f t="shared" si="58"/>
        <v>-0.17799999999999727</v>
      </c>
      <c r="AH50" s="19">
        <f t="shared" si="34"/>
        <v>-0.12299999999999045</v>
      </c>
      <c r="AI50" s="39">
        <f t="shared" si="35"/>
        <v>-0.27299999999999613</v>
      </c>
      <c r="AJ50" s="39">
        <f t="shared" si="36"/>
        <v>-0.17900000000000205</v>
      </c>
      <c r="AK50" s="39">
        <f t="shared" si="45"/>
        <v>-4.9999999999954525E-3</v>
      </c>
      <c r="AL50" s="39">
        <f t="shared" si="46"/>
        <v>-0.10099999999999909</v>
      </c>
      <c r="AM50" s="39">
        <f t="shared" si="47"/>
        <v>-0.15100000000001046</v>
      </c>
      <c r="AN50" s="51">
        <f t="shared" si="48"/>
        <v>-6.8000000000012051E-2</v>
      </c>
      <c r="AO50" s="51">
        <f t="shared" si="49"/>
        <v>-0.20199999999999818</v>
      </c>
      <c r="AP50" s="51">
        <f t="shared" si="50"/>
        <v>-0.11536363636363686</v>
      </c>
      <c r="AQ50" s="31">
        <f t="shared" si="59"/>
        <v>-3.9000000000015689E-2</v>
      </c>
      <c r="AR50" s="19">
        <f t="shared" si="60"/>
        <v>-0.19499999999999318</v>
      </c>
      <c r="AS50" s="39">
        <f t="shared" si="39"/>
        <v>-0.16599999999999682</v>
      </c>
      <c r="AT50" s="39">
        <f t="shared" si="40"/>
        <v>-9.0000000000003411E-2</v>
      </c>
      <c r="AU50" s="39">
        <f t="shared" si="51"/>
        <v>-0.23799999999999955</v>
      </c>
      <c r="AV50" s="39">
        <f t="shared" si="52"/>
        <v>5.8999999999997499E-2</v>
      </c>
      <c r="AW50" s="39">
        <f t="shared" si="53"/>
        <v>-0.16299999999998249</v>
      </c>
      <c r="AX50" s="39">
        <f t="shared" si="54"/>
        <v>-0.12000000000000455</v>
      </c>
      <c r="AY50" s="39">
        <f t="shared" si="55"/>
        <v>-0.18200000000001637</v>
      </c>
      <c r="AZ50" s="39">
        <f t="shared" si="56"/>
        <v>-0.1254000000000019</v>
      </c>
    </row>
    <row r="51" spans="1:52" x14ac:dyDescent="0.3">
      <c r="A51" s="10" t="s">
        <v>94</v>
      </c>
      <c r="B51" s="64">
        <v>2184391.4169999999</v>
      </c>
      <c r="C51" s="64">
        <v>6227465.2609999999</v>
      </c>
      <c r="D51" s="64">
        <v>213.43799999999999</v>
      </c>
      <c r="E51" s="161" t="s">
        <v>69</v>
      </c>
      <c r="F51" s="81">
        <v>2011</v>
      </c>
      <c r="G51" s="37">
        <v>214.363</v>
      </c>
      <c r="H51" s="81">
        <v>2012</v>
      </c>
      <c r="I51" s="37">
        <v>214.267</v>
      </c>
      <c r="J51" s="81">
        <v>2022</v>
      </c>
      <c r="K51" s="58">
        <v>214.363</v>
      </c>
      <c r="L51" s="17">
        <v>214.267</v>
      </c>
      <c r="M51" s="17">
        <v>214.31200000000001</v>
      </c>
      <c r="N51" s="17">
        <v>214.24299999999999</v>
      </c>
      <c r="O51" s="17">
        <v>214.13</v>
      </c>
      <c r="P51" s="17">
        <v>213.99799999999999</v>
      </c>
      <c r="Q51" s="21">
        <v>214.02099999999999</v>
      </c>
      <c r="R51" s="37">
        <v>213.84</v>
      </c>
      <c r="S51" s="21">
        <v>213.827</v>
      </c>
      <c r="T51" s="40">
        <v>213.71299999999999</v>
      </c>
      <c r="U51" s="45">
        <f>215.38-1.663</f>
        <v>213.71699999999998</v>
      </c>
      <c r="V51" s="37">
        <f>215.33-1.663</f>
        <v>213.667</v>
      </c>
      <c r="W51" s="37">
        <f>215.34-1.663</f>
        <v>213.67699999999999</v>
      </c>
      <c r="X51" s="37">
        <f>215.358-1.663</f>
        <v>213.69499999999999</v>
      </c>
      <c r="Y51" s="37">
        <f>215.28-1.663</f>
        <v>213.61699999999999</v>
      </c>
      <c r="Z51" s="37">
        <f>215.3-1.663</f>
        <v>213.637</v>
      </c>
      <c r="AA51" s="45">
        <f>215.212-1.663</f>
        <v>213.54899999999998</v>
      </c>
      <c r="AB51" s="40">
        <v>213.584</v>
      </c>
      <c r="AC51" s="40">
        <v>213.64699999999999</v>
      </c>
      <c r="AD51" s="90">
        <f>215.101-1.663</f>
        <v>213.43799999999999</v>
      </c>
      <c r="AE51" s="90">
        <f>215.163-1.663</f>
        <v>213.5</v>
      </c>
      <c r="AF51" s="58">
        <f t="shared" si="57"/>
        <v>-5.0999999999987722E-2</v>
      </c>
      <c r="AG51" s="17">
        <f t="shared" si="58"/>
        <v>-0.18200000000001637</v>
      </c>
      <c r="AH51" s="19">
        <f t="shared" si="34"/>
        <v>-0.10900000000000887</v>
      </c>
      <c r="AI51" s="39">
        <f t="shared" si="35"/>
        <v>-0.1939999999999884</v>
      </c>
      <c r="AJ51" s="39">
        <f t="shared" si="36"/>
        <v>-0.11000000000001364</v>
      </c>
      <c r="AK51" s="39">
        <f t="shared" si="45"/>
        <v>-3.9999999999992042E-2</v>
      </c>
      <c r="AL51" s="39">
        <f t="shared" si="46"/>
        <v>-6.0000000000002274E-2</v>
      </c>
      <c r="AM51" s="39">
        <f t="shared" si="47"/>
        <v>-6.8000000000012051E-2</v>
      </c>
      <c r="AN51" s="20">
        <f t="shared" si="48"/>
        <v>3.5000000000025011E-2</v>
      </c>
      <c r="AO51" s="51">
        <f t="shared" si="49"/>
        <v>-0.14600000000001501</v>
      </c>
      <c r="AP51" s="51">
        <f t="shared" si="50"/>
        <v>-8.4090909090910118E-2</v>
      </c>
      <c r="AQ51" s="31">
        <f t="shared" si="59"/>
        <v>-2.4000000000000909E-2</v>
      </c>
      <c r="AR51" s="19">
        <f t="shared" si="60"/>
        <v>-0.24500000000000455</v>
      </c>
      <c r="AS51" s="39">
        <f t="shared" si="39"/>
        <v>-0.15799999999998704</v>
      </c>
      <c r="AT51" s="39">
        <f t="shared" si="40"/>
        <v>-0.12700000000000955</v>
      </c>
      <c r="AU51" s="39">
        <f t="shared" si="51"/>
        <v>-4.5999999999992269E-2</v>
      </c>
      <c r="AV51" s="39">
        <f t="shared" si="52"/>
        <v>2.7999999999991587E-2</v>
      </c>
      <c r="AW51" s="39">
        <f t="shared" si="53"/>
        <v>-5.7999999999992724E-2</v>
      </c>
      <c r="AX51" s="39">
        <f t="shared" si="54"/>
        <v>4.9999999999954525E-3</v>
      </c>
      <c r="AY51" s="39">
        <f t="shared" si="55"/>
        <v>-0.14699999999999136</v>
      </c>
      <c r="AZ51" s="39">
        <f t="shared" si="56"/>
        <v>-7.6699999999999588E-2</v>
      </c>
    </row>
    <row r="52" spans="1:52" x14ac:dyDescent="0.3">
      <c r="A52" s="3">
        <v>162</v>
      </c>
      <c r="B52" s="37">
        <v>2284179.4309999999</v>
      </c>
      <c r="C52" s="37">
        <v>6121191.4000000004</v>
      </c>
      <c r="D52" s="37">
        <v>118.822</v>
      </c>
      <c r="E52" s="161" t="s">
        <v>24</v>
      </c>
      <c r="F52" s="81">
        <v>2011</v>
      </c>
      <c r="G52" s="37">
        <v>121.96899999999999</v>
      </c>
      <c r="H52" s="81">
        <v>2012</v>
      </c>
      <c r="I52" s="37">
        <v>121.655</v>
      </c>
      <c r="J52" s="81">
        <v>2022</v>
      </c>
      <c r="K52" s="58">
        <v>121.96899999999999</v>
      </c>
      <c r="L52" s="17">
        <v>121.655</v>
      </c>
      <c r="M52" s="17">
        <v>121.504</v>
      </c>
      <c r="N52" s="17">
        <v>121.001</v>
      </c>
      <c r="O52" s="17">
        <v>120.83</v>
      </c>
      <c r="P52" s="17">
        <v>120.529</v>
      </c>
      <c r="Q52" s="17">
        <v>120.518</v>
      </c>
      <c r="R52" s="37">
        <v>119.934</v>
      </c>
      <c r="S52" s="17">
        <v>119.86499999999999</v>
      </c>
      <c r="T52" s="37">
        <v>119.78100000000001</v>
      </c>
      <c r="U52" s="37">
        <v>119.61</v>
      </c>
      <c r="V52" s="37">
        <v>119.53400000000001</v>
      </c>
      <c r="W52" s="37">
        <v>119.54</v>
      </c>
      <c r="X52" s="37">
        <v>119.342</v>
      </c>
      <c r="Y52" s="37">
        <v>119.372</v>
      </c>
      <c r="Z52" s="37">
        <v>119.286</v>
      </c>
      <c r="AA52" s="45">
        <v>119.27500000000001</v>
      </c>
      <c r="AB52" s="45">
        <v>119.01300000000001</v>
      </c>
      <c r="AC52" s="45">
        <v>118.82</v>
      </c>
      <c r="AD52" s="90">
        <v>118.822</v>
      </c>
      <c r="AE52" s="90">
        <v>118.623</v>
      </c>
      <c r="AF52" s="58">
        <f t="shared" si="57"/>
        <v>-0.4649999999999892</v>
      </c>
      <c r="AG52" s="17">
        <f t="shared" si="58"/>
        <v>-0.67400000000000659</v>
      </c>
      <c r="AH52" s="19">
        <f t="shared" si="34"/>
        <v>-0.31199999999999761</v>
      </c>
      <c r="AI52" s="39">
        <f t="shared" si="35"/>
        <v>-0.6530000000000058</v>
      </c>
      <c r="AJ52" s="39">
        <f t="shared" si="36"/>
        <v>-0.25499999999999545</v>
      </c>
      <c r="AK52" s="39">
        <f t="shared" si="45"/>
        <v>-6.9999999999993179E-2</v>
      </c>
      <c r="AL52" s="39">
        <f t="shared" si="46"/>
        <v>-0.16800000000000637</v>
      </c>
      <c r="AM52" s="39">
        <f t="shared" si="47"/>
        <v>-9.6999999999994202E-2</v>
      </c>
      <c r="AN52" s="51">
        <f t="shared" si="48"/>
        <v>-0.26200000000000045</v>
      </c>
      <c r="AO52" s="51">
        <f t="shared" si="49"/>
        <v>-0.1910000000000025</v>
      </c>
      <c r="AP52" s="51">
        <f t="shared" si="50"/>
        <v>-0.28609090909090829</v>
      </c>
      <c r="AQ52" s="31">
        <f t="shared" si="59"/>
        <v>-0.65399999999999636</v>
      </c>
      <c r="AR52" s="19">
        <f t="shared" si="60"/>
        <v>-0.47200000000000841</v>
      </c>
      <c r="AS52" s="39">
        <f t="shared" si="39"/>
        <v>-0.59499999999999886</v>
      </c>
      <c r="AT52" s="39">
        <f t="shared" si="40"/>
        <v>-0.15299999999999159</v>
      </c>
      <c r="AU52" s="39">
        <f t="shared" si="51"/>
        <v>-0.24699999999999989</v>
      </c>
      <c r="AV52" s="39">
        <f t="shared" si="52"/>
        <v>-0.19200000000000728</v>
      </c>
      <c r="AW52" s="39">
        <f t="shared" si="53"/>
        <v>-5.5999999999997385E-2</v>
      </c>
      <c r="AX52" s="39">
        <f t="shared" si="54"/>
        <v>-0.23300000000000409</v>
      </c>
      <c r="AY52" s="39">
        <f t="shared" si="55"/>
        <v>-0.19699999999998852</v>
      </c>
      <c r="AZ52" s="39">
        <f t="shared" si="56"/>
        <v>-0.30319999999999964</v>
      </c>
    </row>
    <row r="53" spans="1:52" s="35" customFormat="1" x14ac:dyDescent="0.3">
      <c r="A53" s="3">
        <v>165</v>
      </c>
      <c r="B53" s="37">
        <v>2210796.642</v>
      </c>
      <c r="C53" s="37">
        <v>6330511.551</v>
      </c>
      <c r="D53" s="37">
        <v>372.55099999999999</v>
      </c>
      <c r="E53" s="161" t="s">
        <v>98</v>
      </c>
      <c r="F53" s="81">
        <v>2017</v>
      </c>
      <c r="G53" s="37">
        <v>372.74</v>
      </c>
      <c r="H53" s="81">
        <v>2018</v>
      </c>
      <c r="I53" s="37">
        <v>372.68900000000002</v>
      </c>
      <c r="J53" s="81">
        <v>2022</v>
      </c>
      <c r="K53" s="58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>
        <v>372.74</v>
      </c>
      <c r="X53" s="37">
        <v>372.68900000000002</v>
      </c>
      <c r="Y53" s="37">
        <v>372.654</v>
      </c>
      <c r="Z53" s="37">
        <v>372.714</v>
      </c>
      <c r="AA53" s="45">
        <v>372.62900000000002</v>
      </c>
      <c r="AB53" s="45">
        <v>372.57600000000002</v>
      </c>
      <c r="AC53" s="45">
        <v>372.65100000000001</v>
      </c>
      <c r="AD53" s="90">
        <v>372.55099999999999</v>
      </c>
      <c r="AE53" s="90">
        <v>372.58499999999998</v>
      </c>
      <c r="AF53" s="58"/>
      <c r="AG53" s="37"/>
      <c r="AH53" s="39"/>
      <c r="AI53" s="39"/>
      <c r="AJ53" s="39"/>
      <c r="AK53" s="39" t="s">
        <v>99</v>
      </c>
      <c r="AL53" s="39">
        <f t="shared" si="46"/>
        <v>-8.6000000000012733E-2</v>
      </c>
      <c r="AM53" s="39">
        <f t="shared" si="47"/>
        <v>-2.4999999999977263E-2</v>
      </c>
      <c r="AN53" s="51">
        <f t="shared" si="48"/>
        <v>-5.2999999999997272E-2</v>
      </c>
      <c r="AO53" s="51">
        <f t="shared" si="49"/>
        <v>-2.5000000000034106E-2</v>
      </c>
      <c r="AP53" s="53">
        <f t="shared" si="50"/>
        <v>-3.7800000000004275E-2</v>
      </c>
      <c r="AQ53" s="31"/>
      <c r="AR53" s="39"/>
      <c r="AS53" s="39"/>
      <c r="AT53" s="39"/>
      <c r="AU53" s="39"/>
      <c r="AV53" s="39" t="s">
        <v>99</v>
      </c>
      <c r="AW53" s="39">
        <f t="shared" si="53"/>
        <v>2.4999999999977263E-2</v>
      </c>
      <c r="AX53" s="39">
        <f t="shared" si="54"/>
        <v>-3.1499999999994088E-2</v>
      </c>
      <c r="AY53" s="39">
        <f t="shared" si="55"/>
        <v>-6.6000000000030923E-2</v>
      </c>
      <c r="AZ53" s="38">
        <f t="shared" si="56"/>
        <v>-2.6000000000010459E-2</v>
      </c>
    </row>
    <row r="54" spans="1:52" x14ac:dyDescent="0.3">
      <c r="A54" s="3">
        <v>170</v>
      </c>
      <c r="B54" s="37">
        <v>2335285.3990000002</v>
      </c>
      <c r="C54" s="37">
        <v>6066326.983</v>
      </c>
      <c r="D54" s="37">
        <v>97.39</v>
      </c>
      <c r="E54" s="161" t="s">
        <v>70</v>
      </c>
      <c r="F54" s="81">
        <v>2013</v>
      </c>
      <c r="G54" s="37">
        <v>98.31</v>
      </c>
      <c r="H54" s="81">
        <v>2014</v>
      </c>
      <c r="I54" s="37">
        <v>98.35</v>
      </c>
      <c r="J54" s="81">
        <v>2022</v>
      </c>
      <c r="K54" s="58"/>
      <c r="L54" s="17"/>
      <c r="M54" s="17"/>
      <c r="N54" s="17"/>
      <c r="O54" s="17">
        <v>98.31</v>
      </c>
      <c r="P54" s="17">
        <v>98.35</v>
      </c>
      <c r="Q54" s="17">
        <v>98.218000000000004</v>
      </c>
      <c r="R54" s="37">
        <v>97.980999999999995</v>
      </c>
      <c r="S54" s="17">
        <v>97.887</v>
      </c>
      <c r="T54" s="37">
        <v>97.936000000000007</v>
      </c>
      <c r="U54" s="37">
        <v>97.820999999999998</v>
      </c>
      <c r="V54" s="37">
        <v>97.933000000000007</v>
      </c>
      <c r="W54" s="37">
        <v>97.9</v>
      </c>
      <c r="X54" s="37">
        <v>97.701999999999998</v>
      </c>
      <c r="Y54" s="37">
        <v>97.795000000000002</v>
      </c>
      <c r="Z54" s="37">
        <v>97.841999999999999</v>
      </c>
      <c r="AA54" s="45">
        <v>97.808000000000007</v>
      </c>
      <c r="AB54" s="45">
        <v>97.584000000000003</v>
      </c>
      <c r="AC54" s="45">
        <v>97.424000000000007</v>
      </c>
      <c r="AD54" s="90">
        <v>97.39</v>
      </c>
      <c r="AE54" s="90">
        <v>97.32</v>
      </c>
      <c r="AF54" s="58"/>
      <c r="AG54" s="17"/>
      <c r="AH54" s="19">
        <f>Q54-O54</f>
        <v>-9.1999999999998749E-2</v>
      </c>
      <c r="AI54" s="39">
        <f>S54-Q54</f>
        <v>-0.33100000000000307</v>
      </c>
      <c r="AJ54" s="39">
        <f>U54-S54</f>
        <v>-6.6000000000002501E-2</v>
      </c>
      <c r="AK54" s="39">
        <f>W54-U54</f>
        <v>7.9000000000007731E-2</v>
      </c>
      <c r="AL54" s="39">
        <f t="shared" si="46"/>
        <v>-0.10500000000000398</v>
      </c>
      <c r="AM54" s="39">
        <f t="shared" si="47"/>
        <v>1.300000000000523E-2</v>
      </c>
      <c r="AN54" s="51">
        <f t="shared" si="48"/>
        <v>-0.22400000000000375</v>
      </c>
      <c r="AO54" s="51">
        <f t="shared" si="49"/>
        <v>-0.19400000000000261</v>
      </c>
      <c r="AP54" s="53">
        <f t="shared" si="50"/>
        <v>-0.10222222222222241</v>
      </c>
      <c r="AQ54" s="31"/>
      <c r="AR54" s="18"/>
      <c r="AS54" s="39">
        <f>R54-P54</f>
        <v>-0.36899999999999977</v>
      </c>
      <c r="AT54" s="39">
        <f>T54-R54</f>
        <v>-4.4999999999987494E-2</v>
      </c>
      <c r="AU54" s="39">
        <f>V54-T54</f>
        <v>-3.0000000000001137E-3</v>
      </c>
      <c r="AV54" s="39">
        <f>X54-V54</f>
        <v>-0.23100000000000875</v>
      </c>
      <c r="AW54" s="39">
        <f t="shared" si="53"/>
        <v>0.14000000000000057</v>
      </c>
      <c r="AX54" s="39">
        <f t="shared" si="54"/>
        <v>-0.20899999999999608</v>
      </c>
      <c r="AY54" s="39">
        <f t="shared" si="55"/>
        <v>-0.10400000000001342</v>
      </c>
      <c r="AZ54" s="38">
        <f t="shared" si="56"/>
        <v>-0.12875000000000014</v>
      </c>
    </row>
    <row r="55" spans="1:52" s="35" customFormat="1" x14ac:dyDescent="0.3">
      <c r="A55" s="10" t="s">
        <v>100</v>
      </c>
      <c r="B55" s="64">
        <v>2203302.8569999998</v>
      </c>
      <c r="C55" s="64">
        <v>6176146.6619999995</v>
      </c>
      <c r="D55" s="64">
        <v>158.33800000000002</v>
      </c>
      <c r="E55" s="161" t="s">
        <v>107</v>
      </c>
      <c r="F55" s="81">
        <v>2017</v>
      </c>
      <c r="G55" s="37">
        <v>159.12</v>
      </c>
      <c r="H55" s="81">
        <v>2017</v>
      </c>
      <c r="I55" s="37">
        <v>159.06299999999999</v>
      </c>
      <c r="J55" s="81">
        <v>2022</v>
      </c>
      <c r="K55" s="58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>
        <v>159.06299999999999</v>
      </c>
      <c r="W55" s="37">
        <v>159.12</v>
      </c>
      <c r="X55" s="37">
        <v>159.02199999999999</v>
      </c>
      <c r="Y55" s="31">
        <f>170.166-11.23</f>
        <v>158.93600000000001</v>
      </c>
      <c r="Z55" s="31">
        <f>170.12-11.23</f>
        <v>158.89000000000001</v>
      </c>
      <c r="AA55" s="45">
        <f>169.93-11.23</f>
        <v>158.70000000000002</v>
      </c>
      <c r="AB55" s="40">
        <v>158.524</v>
      </c>
      <c r="AC55" s="40">
        <v>158.46900000000002</v>
      </c>
      <c r="AD55" s="90">
        <f>169.568-11.23</f>
        <v>158.33800000000002</v>
      </c>
      <c r="AE55" s="90">
        <f>169.445-11.23</f>
        <v>158.215</v>
      </c>
      <c r="AF55" s="58"/>
      <c r="AG55" s="37"/>
      <c r="AH55" s="39"/>
      <c r="AI55" s="39"/>
      <c r="AJ55" s="39"/>
      <c r="AK55" s="39" t="s">
        <v>99</v>
      </c>
      <c r="AL55" s="39">
        <f t="shared" si="46"/>
        <v>-0.1839999999999975</v>
      </c>
      <c r="AM55" s="39">
        <f t="shared" si="47"/>
        <v>-0.23599999999999</v>
      </c>
      <c r="AN55" s="20">
        <f t="shared" si="48"/>
        <v>-0.17600000000001614</v>
      </c>
      <c r="AO55" s="51">
        <f t="shared" si="49"/>
        <v>-0.18599999999997863</v>
      </c>
      <c r="AP55" s="53">
        <f t="shared" si="50"/>
        <v>-0.15639999999999646</v>
      </c>
      <c r="AQ55" s="31"/>
      <c r="AR55" s="38"/>
      <c r="AS55" s="39"/>
      <c r="AT55" s="39"/>
      <c r="AU55" s="39"/>
      <c r="AV55" s="39">
        <f>X55-V55</f>
        <v>-4.0999999999996817E-2</v>
      </c>
      <c r="AW55" s="39">
        <f t="shared" si="53"/>
        <v>-0.13199999999997658</v>
      </c>
      <c r="AX55" s="39">
        <f t="shared" si="54"/>
        <v>-0.21049999999999613</v>
      </c>
      <c r="AY55" s="39">
        <f t="shared" si="55"/>
        <v>-0.2540000000000191</v>
      </c>
      <c r="AZ55" s="38">
        <f t="shared" si="56"/>
        <v>-0.16959999999999695</v>
      </c>
    </row>
    <row r="56" spans="1:52" s="35" customFormat="1" x14ac:dyDescent="0.3">
      <c r="A56" s="3">
        <v>202</v>
      </c>
      <c r="B56" s="37">
        <v>2178457.9040000001</v>
      </c>
      <c r="C56" s="37">
        <v>6331655.0439999998</v>
      </c>
      <c r="D56" s="37">
        <v>323.97199999999998</v>
      </c>
      <c r="E56" s="161" t="s">
        <v>52</v>
      </c>
      <c r="F56" s="81">
        <v>2017</v>
      </c>
      <c r="G56" s="37">
        <v>324</v>
      </c>
      <c r="H56" s="81">
        <v>2018</v>
      </c>
      <c r="I56" s="37">
        <v>324.01900000000001</v>
      </c>
      <c r="J56" s="81">
        <v>2022</v>
      </c>
      <c r="K56" s="58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>
        <v>324</v>
      </c>
      <c r="X56" s="37">
        <v>324.01900000000001</v>
      </c>
      <c r="Y56" s="37">
        <v>323.95800000000003</v>
      </c>
      <c r="Z56" s="37">
        <v>324.03100000000001</v>
      </c>
      <c r="AA56" s="45">
        <v>323.94900000000001</v>
      </c>
      <c r="AB56" s="45">
        <v>324.01100000000002</v>
      </c>
      <c r="AC56" s="45">
        <v>324.09100000000001</v>
      </c>
      <c r="AD56" s="90">
        <v>323.97199999999998</v>
      </c>
      <c r="AE56" s="90">
        <v>324.125</v>
      </c>
      <c r="AF56" s="58"/>
      <c r="AG56" s="37"/>
      <c r="AH56" s="39"/>
      <c r="AI56" s="39"/>
      <c r="AJ56" s="39"/>
      <c r="AK56" s="39" t="s">
        <v>99</v>
      </c>
      <c r="AL56" s="39">
        <f t="shared" si="46"/>
        <v>-4.199999999997317E-2</v>
      </c>
      <c r="AM56" s="39">
        <f t="shared" si="47"/>
        <v>-9.0000000000145519E-3</v>
      </c>
      <c r="AN56" s="51">
        <f t="shared" si="48"/>
        <v>6.2000000000011823E-2</v>
      </c>
      <c r="AO56" s="51">
        <f t="shared" si="49"/>
        <v>-3.900000000004411E-2</v>
      </c>
      <c r="AP56" s="53">
        <f t="shared" si="50"/>
        <v>-5.600000000004002E-3</v>
      </c>
      <c r="AQ56" s="31"/>
      <c r="AR56" s="38"/>
      <c r="AS56" s="39"/>
      <c r="AT56" s="39"/>
      <c r="AU56" s="39"/>
      <c r="AV56" s="39" t="s">
        <v>99</v>
      </c>
      <c r="AW56" s="39">
        <f t="shared" si="53"/>
        <v>1.2000000000000455E-2</v>
      </c>
      <c r="AX56" s="39">
        <f t="shared" si="54"/>
        <v>3.0000000000001137E-2</v>
      </c>
      <c r="AY56" s="39">
        <f t="shared" si="55"/>
        <v>3.3999999999991815E-2</v>
      </c>
      <c r="AZ56" s="38">
        <f t="shared" si="56"/>
        <v>2.6499999999998636E-2</v>
      </c>
    </row>
    <row r="57" spans="1:52" x14ac:dyDescent="0.3">
      <c r="A57" s="3" t="s">
        <v>25</v>
      </c>
      <c r="B57" s="37">
        <v>2224869.1039999998</v>
      </c>
      <c r="C57" s="37">
        <v>6157684.9100000001</v>
      </c>
      <c r="D57" s="37">
        <v>144.34700000000001</v>
      </c>
      <c r="E57" s="161" t="s">
        <v>59</v>
      </c>
      <c r="F57" s="81">
        <v>2012</v>
      </c>
      <c r="G57" s="37">
        <v>147.33600000000001</v>
      </c>
      <c r="H57" s="81">
        <v>2012</v>
      </c>
      <c r="I57" s="37">
        <v>147.34100000000001</v>
      </c>
      <c r="J57" s="81">
        <v>2022</v>
      </c>
      <c r="K57" s="58"/>
      <c r="L57" s="17">
        <v>147.34100000000001</v>
      </c>
      <c r="M57" s="17">
        <v>147.33600000000001</v>
      </c>
      <c r="N57" s="17">
        <v>147.184</v>
      </c>
      <c r="O57" s="17">
        <v>146.96700000000001</v>
      </c>
      <c r="P57" s="17">
        <v>146.685</v>
      </c>
      <c r="Q57" s="17">
        <v>146.64500000000001</v>
      </c>
      <c r="R57" s="37">
        <v>146.285</v>
      </c>
      <c r="S57" s="17">
        <v>146.179</v>
      </c>
      <c r="T57" s="37">
        <v>145.917</v>
      </c>
      <c r="U57" s="37">
        <v>145.63900000000001</v>
      </c>
      <c r="V57" s="37">
        <v>145.392</v>
      </c>
      <c r="W57" s="37">
        <v>145.34</v>
      </c>
      <c r="X57" s="37">
        <v>145.19</v>
      </c>
      <c r="Y57" s="37">
        <v>145.06800000000001</v>
      </c>
      <c r="Z57" s="37">
        <v>144.89699999999999</v>
      </c>
      <c r="AA57" s="45">
        <v>144.81299999999999</v>
      </c>
      <c r="AB57" s="45">
        <v>144.61199999999999</v>
      </c>
      <c r="AC57" s="45">
        <v>144.464</v>
      </c>
      <c r="AD57" s="90">
        <v>144.34700000000001</v>
      </c>
      <c r="AE57" s="90">
        <v>144.21100000000001</v>
      </c>
      <c r="AF57" s="22"/>
      <c r="AG57" s="17">
        <f t="shared" ref="AG57:AG74" si="61">O57-M57</f>
        <v>-0.36899999999999977</v>
      </c>
      <c r="AH57" s="19">
        <f t="shared" ref="AH57:AH75" si="62">Q57-O57</f>
        <v>-0.32200000000000273</v>
      </c>
      <c r="AI57" s="39">
        <f t="shared" ref="AI57:AI75" si="63">S57-Q57</f>
        <v>-0.46600000000000819</v>
      </c>
      <c r="AJ57" s="39">
        <f t="shared" ref="AJ57:AJ75" si="64">U57-S57</f>
        <v>-0.53999999999999204</v>
      </c>
      <c r="AK57" s="39">
        <f t="shared" ref="AK57:AK77" si="65">W57-U57</f>
        <v>-0.29900000000000659</v>
      </c>
      <c r="AL57" s="39">
        <f t="shared" si="46"/>
        <v>-0.27199999999999136</v>
      </c>
      <c r="AM57" s="39">
        <f t="shared" si="47"/>
        <v>-0.25500000000002387</v>
      </c>
      <c r="AN57" s="51">
        <f t="shared" si="48"/>
        <v>-0.20099999999999341</v>
      </c>
      <c r="AO57" s="51">
        <f t="shared" si="49"/>
        <v>-0.26499999999998636</v>
      </c>
      <c r="AP57" s="53">
        <f t="shared" si="50"/>
        <v>-0.29890000000000044</v>
      </c>
      <c r="AQ57" s="31">
        <f t="shared" ref="AQ57:AQ74" si="66">N57-L57</f>
        <v>-0.15700000000001069</v>
      </c>
      <c r="AR57" s="19">
        <f t="shared" ref="AR57:AR74" si="67">P57-N57</f>
        <v>-0.49899999999999523</v>
      </c>
      <c r="AS57" s="39">
        <f t="shared" ref="AS57:AS75" si="68">R57-P57</f>
        <v>-0.40000000000000568</v>
      </c>
      <c r="AT57" s="39">
        <f t="shared" ref="AT57:AT75" si="69">T57-R57</f>
        <v>-0.367999999999995</v>
      </c>
      <c r="AU57" s="39">
        <f t="shared" ref="AU57:AU77" si="70">V57-T57</f>
        <v>-0.52500000000000568</v>
      </c>
      <c r="AV57" s="39">
        <f t="shared" ref="AV57:AV75" si="71">X57-V57</f>
        <v>-0.20199999999999818</v>
      </c>
      <c r="AW57" s="39">
        <f t="shared" si="53"/>
        <v>-0.29300000000000637</v>
      </c>
      <c r="AX57" s="39">
        <f t="shared" si="54"/>
        <v>-0.21649999999999636</v>
      </c>
      <c r="AY57" s="39">
        <f t="shared" si="55"/>
        <v>-0.2529999999999859</v>
      </c>
      <c r="AZ57" s="39">
        <f t="shared" si="56"/>
        <v>-0.31299999999999956</v>
      </c>
    </row>
    <row r="58" spans="1:52" x14ac:dyDescent="0.3">
      <c r="A58" s="3">
        <v>1009</v>
      </c>
      <c r="B58" s="37">
        <v>2233366.8390000002</v>
      </c>
      <c r="C58" s="37">
        <v>6122386.6500000004</v>
      </c>
      <c r="D58" s="37">
        <v>127.146</v>
      </c>
      <c r="E58" s="161" t="s">
        <v>26</v>
      </c>
      <c r="F58" s="81">
        <v>2012</v>
      </c>
      <c r="G58" s="37">
        <v>129.34100000000001</v>
      </c>
      <c r="H58" s="81">
        <v>2012</v>
      </c>
      <c r="I58" s="37">
        <v>129.36199999999999</v>
      </c>
      <c r="J58" s="81">
        <v>2022</v>
      </c>
      <c r="K58" s="58"/>
      <c r="L58" s="17">
        <v>129.36199999999999</v>
      </c>
      <c r="M58" s="17">
        <v>129.34100000000001</v>
      </c>
      <c r="N58" s="17">
        <v>129.16800000000001</v>
      </c>
      <c r="O58" s="17">
        <v>129.04</v>
      </c>
      <c r="P58" s="17">
        <v>128.79599999999999</v>
      </c>
      <c r="Q58" s="17">
        <v>128.77099999999999</v>
      </c>
      <c r="R58" s="37">
        <v>128.34299999999999</v>
      </c>
      <c r="S58" s="17">
        <v>128.22399999999999</v>
      </c>
      <c r="T58" s="37">
        <v>128.14699999999999</v>
      </c>
      <c r="U58" s="37">
        <v>127.974</v>
      </c>
      <c r="V58" s="37">
        <v>127.825</v>
      </c>
      <c r="W58" s="58">
        <v>127.84</v>
      </c>
      <c r="X58" s="37">
        <v>127.761</v>
      </c>
      <c r="Y58" s="37">
        <v>127.669</v>
      </c>
      <c r="Z58" s="37">
        <v>127.593</v>
      </c>
      <c r="AA58" s="45">
        <v>127.506</v>
      </c>
      <c r="AB58" s="45">
        <v>127.345</v>
      </c>
      <c r="AC58" s="45">
        <v>127.20099999999999</v>
      </c>
      <c r="AD58" s="90">
        <v>127.146</v>
      </c>
      <c r="AE58" s="90">
        <v>127.06</v>
      </c>
      <c r="AF58" s="22"/>
      <c r="AG58" s="17">
        <f t="shared" si="61"/>
        <v>-0.30100000000001614</v>
      </c>
      <c r="AH58" s="19">
        <f t="shared" si="62"/>
        <v>-0.26900000000000546</v>
      </c>
      <c r="AI58" s="39">
        <f t="shared" si="63"/>
        <v>-0.54699999999999704</v>
      </c>
      <c r="AJ58" s="39">
        <f t="shared" si="64"/>
        <v>-0.24999999999998579</v>
      </c>
      <c r="AK58" s="39">
        <f t="shared" si="65"/>
        <v>-0.13400000000000034</v>
      </c>
      <c r="AL58" s="39">
        <f t="shared" si="46"/>
        <v>-0.17100000000000648</v>
      </c>
      <c r="AM58" s="39">
        <f t="shared" si="47"/>
        <v>-0.1629999999999967</v>
      </c>
      <c r="AN58" s="51">
        <f t="shared" si="48"/>
        <v>-0.16100000000000136</v>
      </c>
      <c r="AO58" s="51">
        <f t="shared" si="49"/>
        <v>-0.19899999999999807</v>
      </c>
      <c r="AP58" s="53">
        <f t="shared" si="50"/>
        <v>-0.21950000000000075</v>
      </c>
      <c r="AQ58" s="31">
        <f t="shared" si="66"/>
        <v>-0.1939999999999884</v>
      </c>
      <c r="AR58" s="19">
        <f t="shared" si="67"/>
        <v>-0.3720000000000141</v>
      </c>
      <c r="AS58" s="39">
        <f t="shared" si="68"/>
        <v>-0.45300000000000296</v>
      </c>
      <c r="AT58" s="39">
        <f t="shared" si="69"/>
        <v>-0.19599999999999795</v>
      </c>
      <c r="AU58" s="39">
        <f t="shared" si="70"/>
        <v>-0.32199999999998852</v>
      </c>
      <c r="AV58" s="39">
        <f t="shared" si="71"/>
        <v>-6.4000000000007162E-2</v>
      </c>
      <c r="AW58" s="39">
        <f t="shared" si="53"/>
        <v>-0.16799999999999216</v>
      </c>
      <c r="AX58" s="39">
        <f t="shared" si="54"/>
        <v>-0.19600000000000506</v>
      </c>
      <c r="AY58" s="39">
        <f t="shared" si="55"/>
        <v>-0.14099999999999113</v>
      </c>
      <c r="AZ58" s="39">
        <f t="shared" si="56"/>
        <v>-0.23019999999999924</v>
      </c>
    </row>
    <row r="59" spans="1:52" x14ac:dyDescent="0.3">
      <c r="A59" s="10" t="s">
        <v>71</v>
      </c>
      <c r="B59" s="64">
        <v>2241368.2540000002</v>
      </c>
      <c r="C59" s="64">
        <v>6157691.8250000002</v>
      </c>
      <c r="D59" s="75">
        <v>141.708</v>
      </c>
      <c r="E59" s="163" t="s">
        <v>72</v>
      </c>
      <c r="F59" s="81">
        <v>2012</v>
      </c>
      <c r="G59" s="37">
        <v>146.69900000000001</v>
      </c>
      <c r="H59" s="81">
        <v>2012</v>
      </c>
      <c r="I59" s="37">
        <v>146.97800000000001</v>
      </c>
      <c r="J59" s="81">
        <v>2022</v>
      </c>
      <c r="K59" s="58"/>
      <c r="L59" s="17">
        <v>146.97800000000001</v>
      </c>
      <c r="M59" s="17">
        <v>146.69900000000001</v>
      </c>
      <c r="N59" s="17">
        <v>146.33199999999999</v>
      </c>
      <c r="O59" s="17">
        <v>146.06</v>
      </c>
      <c r="P59" s="17">
        <v>145.648</v>
      </c>
      <c r="Q59" s="21">
        <v>145.47199999999998</v>
      </c>
      <c r="R59" s="37">
        <v>144.94</v>
      </c>
      <c r="S59" s="21">
        <v>144.69399999999999</v>
      </c>
      <c r="T59" s="40">
        <v>144.30799999999999</v>
      </c>
      <c r="U59" s="45">
        <f>151.84-7.877</f>
        <v>143.96299999999999</v>
      </c>
      <c r="V59" s="37">
        <f>151.493-7.877</f>
        <v>143.61599999999999</v>
      </c>
      <c r="W59" s="37">
        <f>151.35-7.877</f>
        <v>143.47299999999998</v>
      </c>
      <c r="X59" s="37">
        <f>150.974-7.877</f>
        <v>143.09699999999998</v>
      </c>
      <c r="Y59" s="37">
        <f>150.817-7.877</f>
        <v>142.94</v>
      </c>
      <c r="Z59" s="37">
        <f>150.5-7.877</f>
        <v>142.62299999999999</v>
      </c>
      <c r="AA59" s="45">
        <f>150.364-7.877</f>
        <v>142.48699999999999</v>
      </c>
      <c r="AB59" s="45">
        <v>142.11699999999999</v>
      </c>
      <c r="AC59" s="45">
        <v>141.839</v>
      </c>
      <c r="AD59" s="90">
        <f>149.585-7.877</f>
        <v>141.708</v>
      </c>
      <c r="AE59" s="90">
        <f>149.37-7.877</f>
        <v>141.49299999999999</v>
      </c>
      <c r="AF59" s="22"/>
      <c r="AG59" s="17">
        <f t="shared" si="61"/>
        <v>-0.63900000000001</v>
      </c>
      <c r="AH59" s="19">
        <f t="shared" si="62"/>
        <v>-0.58800000000002228</v>
      </c>
      <c r="AI59" s="39">
        <f t="shared" si="63"/>
        <v>-0.77799999999999159</v>
      </c>
      <c r="AJ59" s="39">
        <f t="shared" si="64"/>
        <v>-0.73099999999999454</v>
      </c>
      <c r="AK59" s="39">
        <f t="shared" si="65"/>
        <v>-0.49000000000000909</v>
      </c>
      <c r="AL59" s="39">
        <f t="shared" si="46"/>
        <v>-0.53299999999998704</v>
      </c>
      <c r="AM59" s="39">
        <f t="shared" si="47"/>
        <v>-0.45300000000000296</v>
      </c>
      <c r="AN59" s="51">
        <f t="shared" si="48"/>
        <v>-0.37000000000000455</v>
      </c>
      <c r="AO59" s="51">
        <f t="shared" si="49"/>
        <v>-0.40899999999999181</v>
      </c>
      <c r="AP59" s="53">
        <f t="shared" si="50"/>
        <v>-0.49910000000000138</v>
      </c>
      <c r="AQ59" s="31">
        <f t="shared" si="66"/>
        <v>-0.64600000000001501</v>
      </c>
      <c r="AR59" s="19">
        <f t="shared" si="67"/>
        <v>-0.6839999999999975</v>
      </c>
      <c r="AS59" s="39">
        <f t="shared" si="68"/>
        <v>-0.70799999999999841</v>
      </c>
      <c r="AT59" s="39">
        <f t="shared" si="69"/>
        <v>-0.632000000000005</v>
      </c>
      <c r="AU59" s="39">
        <f t="shared" si="70"/>
        <v>-0.69200000000000728</v>
      </c>
      <c r="AV59" s="39">
        <f t="shared" si="71"/>
        <v>-0.51900000000000546</v>
      </c>
      <c r="AW59" s="39">
        <f t="shared" si="53"/>
        <v>-0.47399999999998954</v>
      </c>
      <c r="AX59" s="39">
        <f t="shared" si="54"/>
        <v>-0.39199999999999591</v>
      </c>
      <c r="AY59" s="39">
        <f t="shared" si="55"/>
        <v>-0.34600000000000364</v>
      </c>
      <c r="AZ59" s="39">
        <f t="shared" si="56"/>
        <v>-0.54850000000000132</v>
      </c>
    </row>
    <row r="60" spans="1:52" x14ac:dyDescent="0.3">
      <c r="A60" s="10" t="s">
        <v>73</v>
      </c>
      <c r="B60" s="64">
        <v>2248691.8309999998</v>
      </c>
      <c r="C60" s="64">
        <v>6157718.2690000003</v>
      </c>
      <c r="D60" s="64">
        <v>145.221</v>
      </c>
      <c r="E60" s="161" t="s">
        <v>74</v>
      </c>
      <c r="F60" s="81">
        <v>2012</v>
      </c>
      <c r="G60" s="37">
        <v>150.34200000000001</v>
      </c>
      <c r="H60" s="81">
        <v>2012</v>
      </c>
      <c r="I60" s="37">
        <v>150.52699999999999</v>
      </c>
      <c r="J60" s="81">
        <v>2022</v>
      </c>
      <c r="K60" s="58"/>
      <c r="L60" s="17">
        <v>150.52699999999999</v>
      </c>
      <c r="M60" s="17">
        <v>150.34200000000001</v>
      </c>
      <c r="N60" s="17">
        <v>149.84899999999999</v>
      </c>
      <c r="O60" s="17">
        <v>149.59</v>
      </c>
      <c r="P60" s="17">
        <v>149.07900000000001</v>
      </c>
      <c r="Q60" s="21">
        <v>148.91300000000001</v>
      </c>
      <c r="R60" s="37">
        <v>148.28</v>
      </c>
      <c r="S60" s="21">
        <v>148.04000000000002</v>
      </c>
      <c r="T60" s="40">
        <v>147.69800000000001</v>
      </c>
      <c r="U60" s="45">
        <f>149.545-2.177</f>
        <v>147.36799999999999</v>
      </c>
      <c r="V60" s="37">
        <f>149.229-2.177</f>
        <v>147.05200000000002</v>
      </c>
      <c r="W60" s="37">
        <f>149.15-2.177</f>
        <v>146.97300000000001</v>
      </c>
      <c r="X60" s="37">
        <f>148.796-2.177</f>
        <v>146.619</v>
      </c>
      <c r="Y60" s="37">
        <f>148.613-2.177</f>
        <v>146.43600000000001</v>
      </c>
      <c r="Z60" s="37">
        <f>148.34-2.177</f>
        <v>146.16300000000001</v>
      </c>
      <c r="AA60" s="45">
        <f>148.248-2.177</f>
        <v>146.071</v>
      </c>
      <c r="AB60" s="40">
        <v>145.71100000000001</v>
      </c>
      <c r="AC60" s="40">
        <v>145.34800000000001</v>
      </c>
      <c r="AD60" s="90">
        <f>147.398-2.177</f>
        <v>145.221</v>
      </c>
      <c r="AE60" s="90">
        <f>147.041-2.177</f>
        <v>144.864</v>
      </c>
      <c r="AF60" s="22"/>
      <c r="AG60" s="37">
        <f t="shared" si="61"/>
        <v>-0.75200000000000955</v>
      </c>
      <c r="AH60" s="19">
        <f t="shared" si="62"/>
        <v>-0.6769999999999925</v>
      </c>
      <c r="AI60" s="39">
        <f t="shared" si="63"/>
        <v>-0.87299999999999045</v>
      </c>
      <c r="AJ60" s="39">
        <f t="shared" si="64"/>
        <v>-0.67200000000002547</v>
      </c>
      <c r="AK60" s="39">
        <f t="shared" si="65"/>
        <v>-0.39499999999998181</v>
      </c>
      <c r="AL60" s="39">
        <f t="shared" si="46"/>
        <v>-0.53700000000000614</v>
      </c>
      <c r="AM60" s="39">
        <f t="shared" si="47"/>
        <v>-0.36500000000000909</v>
      </c>
      <c r="AN60" s="20">
        <f t="shared" si="48"/>
        <v>-0.35999999999998522</v>
      </c>
      <c r="AO60" s="51">
        <f t="shared" si="49"/>
        <v>-0.49000000000000909</v>
      </c>
      <c r="AP60" s="53">
        <f t="shared" si="50"/>
        <v>-0.51210000000000089</v>
      </c>
      <c r="AQ60" s="31">
        <f t="shared" si="66"/>
        <v>-0.67799999999999727</v>
      </c>
      <c r="AR60" s="19">
        <f t="shared" si="67"/>
        <v>-0.76999999999998181</v>
      </c>
      <c r="AS60" s="39">
        <f t="shared" si="68"/>
        <v>-0.79900000000000659</v>
      </c>
      <c r="AT60" s="39">
        <f t="shared" si="69"/>
        <v>-0.58199999999999363</v>
      </c>
      <c r="AU60" s="39">
        <f t="shared" si="70"/>
        <v>-0.64599999999998658</v>
      </c>
      <c r="AV60" s="39">
        <f t="shared" si="71"/>
        <v>-0.43300000000002115</v>
      </c>
      <c r="AW60" s="39">
        <f t="shared" si="53"/>
        <v>-0.45599999999998886</v>
      </c>
      <c r="AX60" s="39">
        <f t="shared" si="54"/>
        <v>-0.40749999999999886</v>
      </c>
      <c r="AY60" s="39">
        <f t="shared" si="55"/>
        <v>-0.48400000000000887</v>
      </c>
      <c r="AZ60" s="39">
        <f t="shared" si="56"/>
        <v>-0.56629999999999825</v>
      </c>
    </row>
    <row r="61" spans="1:52" x14ac:dyDescent="0.3">
      <c r="A61" s="10" t="s">
        <v>75</v>
      </c>
      <c r="B61" s="64">
        <v>2265037.7200000002</v>
      </c>
      <c r="C61" s="64">
        <v>6131551.585</v>
      </c>
      <c r="D61" s="64">
        <v>124.142</v>
      </c>
      <c r="E61" s="161" t="s">
        <v>80</v>
      </c>
      <c r="F61" s="81">
        <v>2012</v>
      </c>
      <c r="G61" s="37">
        <v>128.91300000000001</v>
      </c>
      <c r="H61" s="81">
        <v>2012</v>
      </c>
      <c r="I61" s="37">
        <v>129.16399999999999</v>
      </c>
      <c r="J61" s="81">
        <v>2022</v>
      </c>
      <c r="K61" s="58"/>
      <c r="L61" s="17">
        <v>129.16399999999999</v>
      </c>
      <c r="M61" s="17">
        <v>128.91300000000001</v>
      </c>
      <c r="N61" s="17">
        <v>128.45699999999999</v>
      </c>
      <c r="O61" s="17">
        <v>128.07</v>
      </c>
      <c r="P61" s="17">
        <v>127.67699999999999</v>
      </c>
      <c r="Q61" s="21">
        <v>127.48399999999999</v>
      </c>
      <c r="R61" s="37">
        <v>126.79</v>
      </c>
      <c r="S61" s="21">
        <v>126.55799999999999</v>
      </c>
      <c r="T61" s="40">
        <v>126.276</v>
      </c>
      <c r="U61" s="45">
        <f>125.336+0.663</f>
        <v>125.999</v>
      </c>
      <c r="V61" s="37">
        <f>125.153+0.663</f>
        <v>125.816</v>
      </c>
      <c r="W61" s="37">
        <f>124.96+0.663</f>
        <v>125.62299999999999</v>
      </c>
      <c r="X61" s="37">
        <f>124.727+0.663</f>
        <v>125.39</v>
      </c>
      <c r="Y61" s="37">
        <f>124.682+0.663</f>
        <v>125.345</v>
      </c>
      <c r="Z61" s="37">
        <f>124.57+0.663</f>
        <v>125.23299999999999</v>
      </c>
      <c r="AA61" s="45">
        <f>124.516+0.663</f>
        <v>125.179</v>
      </c>
      <c r="AB61" s="40">
        <v>124.58199999999999</v>
      </c>
      <c r="AC61" s="40">
        <v>124.22499999999999</v>
      </c>
      <c r="AD61" s="90">
        <f>123.509+0.633</f>
        <v>124.142</v>
      </c>
      <c r="AE61" s="90">
        <f>123.1+0.633</f>
        <v>123.73299999999999</v>
      </c>
      <c r="AF61" s="22"/>
      <c r="AG61" s="37">
        <f t="shared" si="61"/>
        <v>-0.84300000000001774</v>
      </c>
      <c r="AH61" s="19">
        <f t="shared" si="62"/>
        <v>-0.58599999999999852</v>
      </c>
      <c r="AI61" s="39">
        <f t="shared" si="63"/>
        <v>-0.92600000000000193</v>
      </c>
      <c r="AJ61" s="39">
        <f t="shared" si="64"/>
        <v>-0.5589999999999975</v>
      </c>
      <c r="AK61" s="39">
        <f t="shared" si="65"/>
        <v>-0.37600000000000477</v>
      </c>
      <c r="AL61" s="39">
        <f t="shared" si="46"/>
        <v>-0.27799999999999159</v>
      </c>
      <c r="AM61" s="39">
        <f t="shared" si="47"/>
        <v>-0.16599999999999682</v>
      </c>
      <c r="AN61" s="20">
        <f t="shared" si="48"/>
        <v>-0.59700000000000841</v>
      </c>
      <c r="AO61" s="51">
        <f t="shared" si="49"/>
        <v>-0.43999999999999773</v>
      </c>
      <c r="AP61" s="53">
        <f t="shared" si="50"/>
        <v>-0.47710000000000152</v>
      </c>
      <c r="AQ61" s="31">
        <f t="shared" si="66"/>
        <v>-0.70699999999999363</v>
      </c>
      <c r="AR61" s="19">
        <f t="shared" si="67"/>
        <v>-0.78000000000000114</v>
      </c>
      <c r="AS61" s="39">
        <f t="shared" si="68"/>
        <v>-0.88699999999998624</v>
      </c>
      <c r="AT61" s="39">
        <f t="shared" si="69"/>
        <v>-0.51400000000001</v>
      </c>
      <c r="AU61" s="39">
        <f t="shared" si="70"/>
        <v>-0.45999999999999375</v>
      </c>
      <c r="AV61" s="39">
        <f t="shared" si="71"/>
        <v>-0.42600000000000193</v>
      </c>
      <c r="AW61" s="39">
        <f t="shared" si="53"/>
        <v>-0.15700000000001069</v>
      </c>
      <c r="AX61" s="39">
        <f t="shared" si="54"/>
        <v>-0.50399999999999778</v>
      </c>
      <c r="AY61" s="39">
        <f t="shared" si="55"/>
        <v>-0.49200000000000443</v>
      </c>
      <c r="AZ61" s="39">
        <f t="shared" si="56"/>
        <v>-0.54309999999999969</v>
      </c>
    </row>
    <row r="62" spans="1:52" x14ac:dyDescent="0.3">
      <c r="A62" s="3">
        <v>1108</v>
      </c>
      <c r="B62" s="37">
        <v>2361311.9410000001</v>
      </c>
      <c r="C62" s="37">
        <v>6086633.8109999998</v>
      </c>
      <c r="D62" s="37">
        <v>123.41500000000001</v>
      </c>
      <c r="E62" s="161" t="s">
        <v>27</v>
      </c>
      <c r="F62" s="81">
        <v>2012</v>
      </c>
      <c r="G62" s="37">
        <v>123.759</v>
      </c>
      <c r="H62" s="81">
        <v>2012</v>
      </c>
      <c r="I62" s="37">
        <v>123.736</v>
      </c>
      <c r="J62" s="81">
        <v>2022</v>
      </c>
      <c r="K62" s="58"/>
      <c r="L62" s="17">
        <v>123.736</v>
      </c>
      <c r="M62" s="17">
        <v>123.759</v>
      </c>
      <c r="N62" s="17">
        <v>123.726</v>
      </c>
      <c r="O62" s="17">
        <v>123.63</v>
      </c>
      <c r="P62" s="17">
        <v>123.74</v>
      </c>
      <c r="Q62" s="17">
        <v>123.747</v>
      </c>
      <c r="R62" s="37">
        <v>123.61199999999999</v>
      </c>
      <c r="S62" s="17">
        <v>123.55200000000001</v>
      </c>
      <c r="T62" s="37">
        <v>123.684</v>
      </c>
      <c r="U62" s="37">
        <v>123.616</v>
      </c>
      <c r="V62" s="37">
        <v>123.72499999999999</v>
      </c>
      <c r="W62" s="58">
        <v>123.59</v>
      </c>
      <c r="X62" s="37">
        <v>123.447</v>
      </c>
      <c r="Y62" s="37">
        <v>123.56</v>
      </c>
      <c r="Z62" s="37">
        <v>123.581</v>
      </c>
      <c r="AA62" s="45">
        <v>123.637</v>
      </c>
      <c r="AB62" s="45">
        <v>123.501</v>
      </c>
      <c r="AC62" s="45">
        <v>123.298</v>
      </c>
      <c r="AD62" s="90">
        <v>123.41500000000001</v>
      </c>
      <c r="AE62" s="90">
        <v>123.292</v>
      </c>
      <c r="AF62" s="22"/>
      <c r="AG62" s="17">
        <f t="shared" si="61"/>
        <v>-0.12900000000000489</v>
      </c>
      <c r="AH62" s="19">
        <f t="shared" si="62"/>
        <v>0.11700000000000443</v>
      </c>
      <c r="AI62" s="39">
        <f t="shared" si="63"/>
        <v>-0.19499999999999318</v>
      </c>
      <c r="AJ62" s="39">
        <f t="shared" si="64"/>
        <v>6.3999999999992951E-2</v>
      </c>
      <c r="AK62" s="39">
        <f t="shared" si="65"/>
        <v>-2.5999999999996248E-2</v>
      </c>
      <c r="AL62" s="39">
        <f t="shared" si="46"/>
        <v>-3.0000000000001137E-2</v>
      </c>
      <c r="AM62" s="39">
        <f t="shared" si="47"/>
        <v>7.6999999999998181E-2</v>
      </c>
      <c r="AN62" s="51">
        <f t="shared" si="48"/>
        <v>-0.13599999999999568</v>
      </c>
      <c r="AO62" s="51">
        <f t="shared" si="49"/>
        <v>-8.5999999999998522E-2</v>
      </c>
      <c r="AP62" s="53">
        <f t="shared" si="50"/>
        <v>-3.439999999999941E-2</v>
      </c>
      <c r="AQ62" s="31">
        <f t="shared" si="66"/>
        <v>-1.0000000000005116E-2</v>
      </c>
      <c r="AR62" s="19">
        <f t="shared" si="67"/>
        <v>1.3999999999995794E-2</v>
      </c>
      <c r="AS62" s="39">
        <f t="shared" si="68"/>
        <v>-0.12800000000000011</v>
      </c>
      <c r="AT62" s="39">
        <f t="shared" si="69"/>
        <v>7.2000000000002728E-2</v>
      </c>
      <c r="AU62" s="39">
        <f t="shared" si="70"/>
        <v>4.0999999999996817E-2</v>
      </c>
      <c r="AV62" s="39">
        <f t="shared" si="71"/>
        <v>-0.27799999999999159</v>
      </c>
      <c r="AW62" s="39">
        <f t="shared" si="53"/>
        <v>0.13400000000000034</v>
      </c>
      <c r="AX62" s="39">
        <f t="shared" si="54"/>
        <v>-0.14150000000000063</v>
      </c>
      <c r="AY62" s="39">
        <f t="shared" si="55"/>
        <v>-6.0000000000002274E-3</v>
      </c>
      <c r="AZ62" s="39">
        <f t="shared" si="56"/>
        <v>-4.4400000000000259E-2</v>
      </c>
    </row>
    <row r="63" spans="1:52" x14ac:dyDescent="0.3">
      <c r="A63" s="28">
        <v>2062</v>
      </c>
      <c r="B63" s="85">
        <v>2239273.1490000002</v>
      </c>
      <c r="C63" s="86">
        <v>6146218.6770000001</v>
      </c>
      <c r="D63" s="74">
        <v>138.21899999999999</v>
      </c>
      <c r="E63" s="163" t="s">
        <v>110</v>
      </c>
      <c r="F63" s="81">
        <v>2012</v>
      </c>
      <c r="G63" s="37">
        <v>141.29400000000001</v>
      </c>
      <c r="H63" s="81">
        <v>2012</v>
      </c>
      <c r="I63" s="37">
        <v>141.27699999999999</v>
      </c>
      <c r="J63" s="81">
        <v>2022</v>
      </c>
      <c r="K63" s="58"/>
      <c r="L63" s="17">
        <v>141.27699999999999</v>
      </c>
      <c r="M63" s="17">
        <v>141.29400000000001</v>
      </c>
      <c r="N63" s="17">
        <v>141.07400000000001</v>
      </c>
      <c r="O63" s="17">
        <v>140.94999999999999</v>
      </c>
      <c r="P63" s="17">
        <v>140.65</v>
      </c>
      <c r="Q63" s="17">
        <v>140.62899999999999</v>
      </c>
      <c r="R63" s="37">
        <v>140.28899999999999</v>
      </c>
      <c r="S63" s="17">
        <v>140.125</v>
      </c>
      <c r="T63" s="37">
        <v>139.88900000000001</v>
      </c>
      <c r="U63" s="37">
        <v>139.65100000000001</v>
      </c>
      <c r="V63" s="37">
        <v>139.48699999999999</v>
      </c>
      <c r="W63" s="37">
        <v>139.41999999999999</v>
      </c>
      <c r="X63" s="37">
        <v>139.22499999999999</v>
      </c>
      <c r="Y63" s="61"/>
      <c r="Z63" s="37">
        <v>139.03100000000001</v>
      </c>
      <c r="AA63" s="45">
        <v>138.83099999999999</v>
      </c>
      <c r="AB63" s="45"/>
      <c r="AC63" s="45">
        <v>138.91499999999999</v>
      </c>
      <c r="AD63" s="90">
        <v>138.21899999999999</v>
      </c>
      <c r="AE63" s="90"/>
      <c r="AF63" s="22"/>
      <c r="AG63" s="17">
        <f t="shared" si="61"/>
        <v>-0.34400000000002251</v>
      </c>
      <c r="AH63" s="19">
        <f t="shared" si="62"/>
        <v>-0.32099999999999795</v>
      </c>
      <c r="AI63" s="39">
        <f t="shared" si="63"/>
        <v>-0.50399999999999068</v>
      </c>
      <c r="AJ63" s="39">
        <f t="shared" si="64"/>
        <v>-0.47399999999998954</v>
      </c>
      <c r="AK63" s="39">
        <f t="shared" si="65"/>
        <v>-0.23100000000002296</v>
      </c>
      <c r="AL63" s="39"/>
      <c r="AM63" s="39"/>
      <c r="AN63" s="51"/>
      <c r="AO63" s="51"/>
      <c r="AP63" s="53">
        <f t="shared" si="50"/>
        <v>-0.30750000000000172</v>
      </c>
      <c r="AQ63" s="31">
        <f t="shared" si="66"/>
        <v>-0.20299999999997453</v>
      </c>
      <c r="AR63" s="19">
        <f t="shared" si="67"/>
        <v>-0.42400000000000659</v>
      </c>
      <c r="AS63" s="39">
        <f t="shared" si="68"/>
        <v>-0.36100000000001842</v>
      </c>
      <c r="AT63" s="39">
        <f t="shared" si="69"/>
        <v>-0.39999999999997726</v>
      </c>
      <c r="AU63" s="39">
        <f t="shared" si="70"/>
        <v>-0.40200000000001523</v>
      </c>
      <c r="AV63" s="39">
        <f t="shared" si="71"/>
        <v>-0.26200000000000045</v>
      </c>
      <c r="AW63" s="39">
        <f t="shared" si="53"/>
        <v>-0.1939999999999884</v>
      </c>
      <c r="AX63" s="39">
        <f t="shared" si="54"/>
        <v>-5.8000000000006935E-2</v>
      </c>
      <c r="AY63" s="39"/>
      <c r="AZ63" s="39"/>
    </row>
    <row r="64" spans="1:52" x14ac:dyDescent="0.3">
      <c r="A64" s="3">
        <v>2065</v>
      </c>
      <c r="B64" s="37">
        <v>2322679.4350000001</v>
      </c>
      <c r="C64" s="37">
        <v>6128257.375</v>
      </c>
      <c r="D64" s="37">
        <v>143.47800000000001</v>
      </c>
      <c r="E64" s="161" t="s">
        <v>28</v>
      </c>
      <c r="F64" s="81">
        <v>2012</v>
      </c>
      <c r="G64" s="37">
        <v>145.98500000000001</v>
      </c>
      <c r="H64" s="81">
        <v>2012</v>
      </c>
      <c r="I64" s="37">
        <v>145.958</v>
      </c>
      <c r="J64" s="81">
        <v>2022</v>
      </c>
      <c r="K64" s="58"/>
      <c r="L64" s="17">
        <v>145.958</v>
      </c>
      <c r="M64" s="17">
        <v>145.98500000000001</v>
      </c>
      <c r="N64" s="17">
        <v>145.684</v>
      </c>
      <c r="O64" s="17">
        <v>145.55000000000001</v>
      </c>
      <c r="P64" s="17">
        <v>145.36000000000001</v>
      </c>
      <c r="Q64" s="17">
        <v>145.32400000000001</v>
      </c>
      <c r="R64" s="37">
        <v>144.81899999999999</v>
      </c>
      <c r="S64" s="17">
        <v>144.749</v>
      </c>
      <c r="T64" s="37">
        <v>144.72800000000001</v>
      </c>
      <c r="U64" s="37">
        <v>144.58699999999999</v>
      </c>
      <c r="V64" s="37">
        <v>144.50800000000001</v>
      </c>
      <c r="W64" s="37">
        <v>144.43</v>
      </c>
      <c r="X64" s="37">
        <v>144.16399999999999</v>
      </c>
      <c r="Y64" s="37">
        <v>144.262</v>
      </c>
      <c r="Z64" s="37">
        <v>144.108</v>
      </c>
      <c r="AA64" s="45">
        <v>144.12100000000001</v>
      </c>
      <c r="AB64" s="45">
        <v>143.82400000000001</v>
      </c>
      <c r="AC64" s="45">
        <v>143.512</v>
      </c>
      <c r="AD64" s="90">
        <v>143.47800000000001</v>
      </c>
      <c r="AE64" s="90">
        <v>143.08699999999999</v>
      </c>
      <c r="AF64" s="22"/>
      <c r="AG64" s="17">
        <f t="shared" si="61"/>
        <v>-0.43500000000000227</v>
      </c>
      <c r="AH64" s="19">
        <f t="shared" si="62"/>
        <v>-0.22599999999999909</v>
      </c>
      <c r="AI64" s="39">
        <f t="shared" si="63"/>
        <v>-0.57500000000001705</v>
      </c>
      <c r="AJ64" s="39">
        <f t="shared" si="64"/>
        <v>-0.16200000000000614</v>
      </c>
      <c r="AK64" s="39">
        <f t="shared" si="65"/>
        <v>-0.15699999999998226</v>
      </c>
      <c r="AL64" s="39">
        <f t="shared" ref="AL64:AL77" si="72">Y64-W64</f>
        <v>-0.16800000000000637</v>
      </c>
      <c r="AM64" s="39">
        <f t="shared" ref="AM64:AM73" si="73">AA64-Y64</f>
        <v>-0.14099999999999113</v>
      </c>
      <c r="AN64" s="51">
        <f t="shared" ref="AN64:AN73" si="74">AB64-AA64</f>
        <v>-0.29699999999999704</v>
      </c>
      <c r="AO64" s="51">
        <f t="shared" ref="AO64:AO77" si="75">AD64-AB64</f>
        <v>-0.34600000000000364</v>
      </c>
      <c r="AP64" s="53">
        <f t="shared" ref="AP64:AP77" si="76">(AD64-G64)/(J64-F64)</f>
        <v>-0.25070000000000048</v>
      </c>
      <c r="AQ64" s="31">
        <f t="shared" si="66"/>
        <v>-0.27400000000000091</v>
      </c>
      <c r="AR64" s="19">
        <f t="shared" si="67"/>
        <v>-0.32399999999998386</v>
      </c>
      <c r="AS64" s="39">
        <f t="shared" si="68"/>
        <v>-0.54100000000002524</v>
      </c>
      <c r="AT64" s="39">
        <f t="shared" si="69"/>
        <v>-9.0999999999979764E-2</v>
      </c>
      <c r="AU64" s="39">
        <f t="shared" si="70"/>
        <v>-0.21999999999999886</v>
      </c>
      <c r="AV64" s="39">
        <f t="shared" si="71"/>
        <v>-0.34400000000002251</v>
      </c>
      <c r="AW64" s="39">
        <f t="shared" si="53"/>
        <v>-5.5999999999983174E-2</v>
      </c>
      <c r="AX64" s="39">
        <f t="shared" si="54"/>
        <v>-0.29800000000000182</v>
      </c>
      <c r="AY64" s="39">
        <f t="shared" ref="AY64:AY83" si="77">AE64-AC64</f>
        <v>-0.42500000000001137</v>
      </c>
      <c r="AZ64" s="39">
        <f t="shared" si="56"/>
        <v>-0.28710000000000091</v>
      </c>
    </row>
    <row r="65" spans="1:52" x14ac:dyDescent="0.3">
      <c r="A65" s="3">
        <v>2076</v>
      </c>
      <c r="B65" s="37">
        <v>2280427.7390000001</v>
      </c>
      <c r="C65" s="37">
        <v>6163347.7980000004</v>
      </c>
      <c r="D65" s="37">
        <v>177.31</v>
      </c>
      <c r="E65" s="161" t="s">
        <v>76</v>
      </c>
      <c r="F65" s="81">
        <v>2012</v>
      </c>
      <c r="G65" s="37">
        <v>180.803</v>
      </c>
      <c r="H65" s="81">
        <v>2012</v>
      </c>
      <c r="I65" s="37">
        <v>180.846</v>
      </c>
      <c r="J65" s="81">
        <v>2022</v>
      </c>
      <c r="K65" s="58"/>
      <c r="L65" s="17">
        <v>180.846</v>
      </c>
      <c r="M65" s="17">
        <v>180.803</v>
      </c>
      <c r="N65" s="17">
        <v>180.56800000000001</v>
      </c>
      <c r="O65" s="17">
        <v>180.44</v>
      </c>
      <c r="P65" s="17">
        <v>180.19</v>
      </c>
      <c r="Q65" s="17">
        <v>180.08</v>
      </c>
      <c r="R65" s="37">
        <v>179.524</v>
      </c>
      <c r="S65" s="17">
        <v>179.28700000000001</v>
      </c>
      <c r="T65" s="37">
        <v>179.21</v>
      </c>
      <c r="U65" s="37">
        <v>178.88399999999999</v>
      </c>
      <c r="V65" s="37">
        <v>178.70099999999999</v>
      </c>
      <c r="W65" s="37">
        <v>178.59</v>
      </c>
      <c r="X65" s="37">
        <v>178.39599999999999</v>
      </c>
      <c r="Y65" s="37">
        <v>178.27500000000001</v>
      </c>
      <c r="Z65" s="37">
        <v>178.149</v>
      </c>
      <c r="AA65" s="45">
        <v>178.04400000000001</v>
      </c>
      <c r="AB65" s="45">
        <v>177.75899999999999</v>
      </c>
      <c r="AC65" s="45">
        <v>177.505</v>
      </c>
      <c r="AD65" s="90">
        <v>177.31</v>
      </c>
      <c r="AE65" s="90">
        <v>177.02600000000001</v>
      </c>
      <c r="AF65" s="22"/>
      <c r="AG65" s="17">
        <f t="shared" si="61"/>
        <v>-0.36299999999999955</v>
      </c>
      <c r="AH65" s="19">
        <f t="shared" si="62"/>
        <v>-0.35999999999998522</v>
      </c>
      <c r="AI65" s="39">
        <f t="shared" si="63"/>
        <v>-0.79300000000000637</v>
      </c>
      <c r="AJ65" s="39">
        <f t="shared" si="64"/>
        <v>-0.40300000000002001</v>
      </c>
      <c r="AK65" s="39">
        <f t="shared" si="65"/>
        <v>-0.29399999999998272</v>
      </c>
      <c r="AL65" s="39">
        <f t="shared" si="72"/>
        <v>-0.31499999999999773</v>
      </c>
      <c r="AM65" s="39">
        <f t="shared" si="73"/>
        <v>-0.23099999999999454</v>
      </c>
      <c r="AN65" s="51">
        <f t="shared" si="74"/>
        <v>-0.28500000000002501</v>
      </c>
      <c r="AO65" s="51">
        <f t="shared" si="75"/>
        <v>-0.44899999999998386</v>
      </c>
      <c r="AP65" s="53">
        <f t="shared" si="76"/>
        <v>-0.3492999999999995</v>
      </c>
      <c r="AQ65" s="31">
        <f t="shared" si="66"/>
        <v>-0.27799999999999159</v>
      </c>
      <c r="AR65" s="19">
        <f t="shared" si="67"/>
        <v>-0.37800000000001432</v>
      </c>
      <c r="AS65" s="39">
        <f t="shared" si="68"/>
        <v>-0.66599999999999682</v>
      </c>
      <c r="AT65" s="39">
        <f t="shared" si="69"/>
        <v>-0.31399999999999295</v>
      </c>
      <c r="AU65" s="39">
        <f t="shared" si="70"/>
        <v>-0.50900000000001455</v>
      </c>
      <c r="AV65" s="39">
        <f t="shared" si="71"/>
        <v>-0.30500000000000682</v>
      </c>
      <c r="AW65" s="39">
        <f t="shared" si="53"/>
        <v>-0.24699999999998568</v>
      </c>
      <c r="AX65" s="39">
        <f t="shared" si="54"/>
        <v>-0.32200000000000273</v>
      </c>
      <c r="AY65" s="39">
        <f t="shared" si="77"/>
        <v>-0.47899999999998499</v>
      </c>
      <c r="AZ65" s="39">
        <f t="shared" si="56"/>
        <v>-0.38199999999999934</v>
      </c>
    </row>
    <row r="66" spans="1:52" x14ac:dyDescent="0.3">
      <c r="A66" s="3">
        <v>2107</v>
      </c>
      <c r="B66" s="37">
        <v>2099695.6639999999</v>
      </c>
      <c r="C66" s="37">
        <v>6220352.6629999997</v>
      </c>
      <c r="D66" s="37">
        <v>174.34700000000001</v>
      </c>
      <c r="E66" s="161" t="s">
        <v>77</v>
      </c>
      <c r="F66" s="81">
        <v>2012</v>
      </c>
      <c r="G66" s="37">
        <v>176.10900000000001</v>
      </c>
      <c r="H66" s="81">
        <v>2012</v>
      </c>
      <c r="I66" s="37">
        <v>176.036</v>
      </c>
      <c r="J66" s="81">
        <v>2022</v>
      </c>
      <c r="K66" s="58"/>
      <c r="L66" s="17">
        <v>176.036</v>
      </c>
      <c r="M66" s="17">
        <v>176.10900000000001</v>
      </c>
      <c r="N66" s="17">
        <v>175.87799999999999</v>
      </c>
      <c r="O66" s="17">
        <v>175.78</v>
      </c>
      <c r="P66" s="17">
        <v>175.52</v>
      </c>
      <c r="Q66" s="17">
        <v>175.584</v>
      </c>
      <c r="R66" s="37">
        <v>175.268</v>
      </c>
      <c r="S66" s="17">
        <v>175.221</v>
      </c>
      <c r="T66" s="37">
        <v>174.86799999999999</v>
      </c>
      <c r="U66" s="37">
        <v>174.88499999999999</v>
      </c>
      <c r="V66" s="37">
        <v>174.84800000000001</v>
      </c>
      <c r="W66" s="37">
        <v>174.89</v>
      </c>
      <c r="X66" s="37">
        <v>174.87</v>
      </c>
      <c r="Y66" s="37">
        <v>174.84899999999999</v>
      </c>
      <c r="Z66" s="37">
        <v>174.78700000000001</v>
      </c>
      <c r="AA66" s="45">
        <v>174.631</v>
      </c>
      <c r="AB66" s="45">
        <v>174.518</v>
      </c>
      <c r="AC66" s="45">
        <v>174.523</v>
      </c>
      <c r="AD66" s="90">
        <v>174.34700000000001</v>
      </c>
      <c r="AE66" s="90">
        <v>174.18199999999999</v>
      </c>
      <c r="AF66" s="22"/>
      <c r="AG66" s="17">
        <f t="shared" si="61"/>
        <v>-0.32900000000000773</v>
      </c>
      <c r="AH66" s="19">
        <f t="shared" si="62"/>
        <v>-0.19599999999999795</v>
      </c>
      <c r="AI66" s="39">
        <f t="shared" si="63"/>
        <v>-0.36299999999999955</v>
      </c>
      <c r="AJ66" s="39">
        <f t="shared" si="64"/>
        <v>-0.33600000000001273</v>
      </c>
      <c r="AK66" s="39">
        <f t="shared" si="65"/>
        <v>4.9999999999954525E-3</v>
      </c>
      <c r="AL66" s="39">
        <f t="shared" si="72"/>
        <v>-4.0999999999996817E-2</v>
      </c>
      <c r="AM66" s="39">
        <f t="shared" si="73"/>
        <v>-0.21799999999998931</v>
      </c>
      <c r="AN66" s="51">
        <f t="shared" si="74"/>
        <v>-0.11299999999999955</v>
      </c>
      <c r="AO66" s="51">
        <f t="shared" si="75"/>
        <v>-0.17099999999999227</v>
      </c>
      <c r="AP66" s="53">
        <f t="shared" si="76"/>
        <v>-0.17620000000000005</v>
      </c>
      <c r="AQ66" s="31">
        <f t="shared" si="66"/>
        <v>-0.15800000000001546</v>
      </c>
      <c r="AR66" s="19">
        <f t="shared" si="67"/>
        <v>-0.35799999999997567</v>
      </c>
      <c r="AS66" s="39">
        <f t="shared" si="68"/>
        <v>-0.25200000000000955</v>
      </c>
      <c r="AT66" s="39">
        <f t="shared" si="69"/>
        <v>-0.40000000000000568</v>
      </c>
      <c r="AU66" s="39">
        <f t="shared" si="70"/>
        <v>-1.999999999998181E-2</v>
      </c>
      <c r="AV66" s="39">
        <f t="shared" si="71"/>
        <v>2.199999999999136E-2</v>
      </c>
      <c r="AW66" s="39">
        <f t="shared" si="53"/>
        <v>-8.2999999999998408E-2</v>
      </c>
      <c r="AX66" s="39">
        <f t="shared" si="54"/>
        <v>-0.132000000000005</v>
      </c>
      <c r="AY66" s="39">
        <f t="shared" si="77"/>
        <v>-0.34100000000000819</v>
      </c>
      <c r="AZ66" s="39">
        <f t="shared" si="56"/>
        <v>-0.18540000000000134</v>
      </c>
    </row>
    <row r="67" spans="1:52" x14ac:dyDescent="0.3">
      <c r="A67" s="3">
        <v>2147</v>
      </c>
      <c r="B67" s="37">
        <v>2062741.5260000001</v>
      </c>
      <c r="C67" s="37">
        <v>6223015.909</v>
      </c>
      <c r="D67" s="37">
        <v>194.44499999999999</v>
      </c>
      <c r="E67" s="161" t="s">
        <v>29</v>
      </c>
      <c r="F67" s="81">
        <v>2012</v>
      </c>
      <c r="G67" s="37">
        <v>196.62899999999999</v>
      </c>
      <c r="H67" s="81">
        <v>2012</v>
      </c>
      <c r="I67" s="37">
        <v>196.577</v>
      </c>
      <c r="J67" s="81">
        <v>2022</v>
      </c>
      <c r="K67" s="58"/>
      <c r="L67" s="17">
        <v>196.577</v>
      </c>
      <c r="M67" s="17">
        <v>196.62899999999999</v>
      </c>
      <c r="N67" s="17">
        <v>196.36500000000001</v>
      </c>
      <c r="O67" s="17">
        <v>196.27</v>
      </c>
      <c r="P67" s="17">
        <v>195.94</v>
      </c>
      <c r="Q67" s="17">
        <v>195.87700000000001</v>
      </c>
      <c r="R67" s="37">
        <v>195.47499999999999</v>
      </c>
      <c r="S67" s="17">
        <v>195.417</v>
      </c>
      <c r="T67" s="37">
        <v>195.03100000000001</v>
      </c>
      <c r="U67" s="37">
        <v>195.00700000000001</v>
      </c>
      <c r="V67" s="37">
        <v>195.00700000000001</v>
      </c>
      <c r="W67" s="37">
        <v>195.1</v>
      </c>
      <c r="X67" s="37">
        <v>195.10599999999999</v>
      </c>
      <c r="Y67" s="37">
        <v>195.08500000000001</v>
      </c>
      <c r="Z67" s="37">
        <v>195.00399999999999</v>
      </c>
      <c r="AA67" s="45">
        <v>194.87100000000001</v>
      </c>
      <c r="AB67" s="45">
        <v>194.745</v>
      </c>
      <c r="AC67" s="45">
        <v>194.714</v>
      </c>
      <c r="AD67" s="90">
        <v>194.44499999999999</v>
      </c>
      <c r="AE67" s="90">
        <v>194.15700000000001</v>
      </c>
      <c r="AF67" s="22"/>
      <c r="AG67" s="17">
        <f t="shared" si="61"/>
        <v>-0.35899999999998045</v>
      </c>
      <c r="AH67" s="19">
        <f t="shared" si="62"/>
        <v>-0.39300000000000068</v>
      </c>
      <c r="AI67" s="39">
        <f t="shared" si="63"/>
        <v>-0.46000000000000796</v>
      </c>
      <c r="AJ67" s="39">
        <f t="shared" si="64"/>
        <v>-0.40999999999999659</v>
      </c>
      <c r="AK67" s="39">
        <f t="shared" si="65"/>
        <v>9.2999999999989313E-2</v>
      </c>
      <c r="AL67" s="39">
        <f t="shared" si="72"/>
        <v>-1.4999999999986358E-2</v>
      </c>
      <c r="AM67" s="39">
        <f t="shared" si="73"/>
        <v>-0.21399999999999864</v>
      </c>
      <c r="AN67" s="51">
        <f t="shared" si="74"/>
        <v>-0.12600000000000477</v>
      </c>
      <c r="AO67" s="51">
        <f t="shared" si="75"/>
        <v>-0.30000000000001137</v>
      </c>
      <c r="AP67" s="53">
        <f t="shared" si="76"/>
        <v>-0.21839999999999976</v>
      </c>
      <c r="AQ67" s="31">
        <f t="shared" si="66"/>
        <v>-0.21199999999998909</v>
      </c>
      <c r="AR67" s="19">
        <f t="shared" si="67"/>
        <v>-0.42500000000001137</v>
      </c>
      <c r="AS67" s="39">
        <f t="shared" si="68"/>
        <v>-0.46500000000000341</v>
      </c>
      <c r="AT67" s="39">
        <f t="shared" si="69"/>
        <v>-0.4439999999999884</v>
      </c>
      <c r="AU67" s="39">
        <f t="shared" si="70"/>
        <v>-2.4000000000000909E-2</v>
      </c>
      <c r="AV67" s="39">
        <f t="shared" si="71"/>
        <v>9.8999999999989541E-2</v>
      </c>
      <c r="AW67" s="39">
        <f t="shared" si="53"/>
        <v>-0.10200000000000387</v>
      </c>
      <c r="AX67" s="39">
        <f t="shared" si="54"/>
        <v>-0.14499999999999602</v>
      </c>
      <c r="AY67" s="39">
        <f t="shared" si="77"/>
        <v>-0.55699999999998795</v>
      </c>
      <c r="AZ67" s="39">
        <f t="shared" si="56"/>
        <v>-0.24199999999999874</v>
      </c>
    </row>
    <row r="68" spans="1:52" x14ac:dyDescent="0.3">
      <c r="A68" s="3">
        <v>2149</v>
      </c>
      <c r="B68" s="37">
        <v>2115864.8199999998</v>
      </c>
      <c r="C68" s="37">
        <v>6175004.2340000002</v>
      </c>
      <c r="D68" s="37">
        <v>164.035</v>
      </c>
      <c r="E68" s="161" t="s">
        <v>30</v>
      </c>
      <c r="F68" s="81">
        <v>2012</v>
      </c>
      <c r="G68" s="37">
        <v>165.88499999999999</v>
      </c>
      <c r="H68" s="81">
        <v>2012</v>
      </c>
      <c r="I68" s="37">
        <v>165.85</v>
      </c>
      <c r="J68" s="81">
        <v>2022</v>
      </c>
      <c r="K68" s="58"/>
      <c r="L68" s="17">
        <v>165.85</v>
      </c>
      <c r="M68" s="17">
        <v>165.88499999999999</v>
      </c>
      <c r="N68" s="17">
        <v>165.72499999999999</v>
      </c>
      <c r="O68" s="17">
        <v>165.62</v>
      </c>
      <c r="P68" s="17">
        <v>165.47</v>
      </c>
      <c r="Q68" s="17">
        <v>165.429</v>
      </c>
      <c r="R68" s="37">
        <v>165.18600000000001</v>
      </c>
      <c r="S68" s="17">
        <v>164.999</v>
      </c>
      <c r="T68" s="37">
        <v>164.762</v>
      </c>
      <c r="U68" s="37">
        <v>164.60599999999999</v>
      </c>
      <c r="V68" s="37">
        <v>164.56100000000001</v>
      </c>
      <c r="W68" s="37">
        <v>164.61</v>
      </c>
      <c r="X68" s="37">
        <v>164.75</v>
      </c>
      <c r="Y68" s="37">
        <v>164.56100000000001</v>
      </c>
      <c r="Z68" s="37">
        <v>164.52600000000001</v>
      </c>
      <c r="AA68" s="45">
        <v>164.411</v>
      </c>
      <c r="AB68" s="45">
        <v>164.285</v>
      </c>
      <c r="AC68" s="45">
        <v>164.238</v>
      </c>
      <c r="AD68" s="90">
        <v>164.035</v>
      </c>
      <c r="AE68" s="90">
        <v>163.881</v>
      </c>
      <c r="AF68" s="22"/>
      <c r="AG68" s="17">
        <f t="shared" si="61"/>
        <v>-0.26499999999998636</v>
      </c>
      <c r="AH68" s="19">
        <f t="shared" si="62"/>
        <v>-0.1910000000000025</v>
      </c>
      <c r="AI68" s="39">
        <f t="shared" si="63"/>
        <v>-0.43000000000000682</v>
      </c>
      <c r="AJ68" s="39">
        <f t="shared" si="64"/>
        <v>-0.39300000000000068</v>
      </c>
      <c r="AK68" s="39">
        <f t="shared" si="65"/>
        <v>4.0000000000190994E-3</v>
      </c>
      <c r="AL68" s="39">
        <f t="shared" si="72"/>
        <v>-4.9000000000006594E-2</v>
      </c>
      <c r="AM68" s="39">
        <f t="shared" si="73"/>
        <v>-0.15000000000000568</v>
      </c>
      <c r="AN68" s="51">
        <f t="shared" si="74"/>
        <v>-0.12600000000000477</v>
      </c>
      <c r="AO68" s="51">
        <f t="shared" si="75"/>
        <v>-0.25</v>
      </c>
      <c r="AP68" s="53">
        <f t="shared" si="76"/>
        <v>-0.18499999999999944</v>
      </c>
      <c r="AQ68" s="31">
        <f t="shared" si="66"/>
        <v>-0.125</v>
      </c>
      <c r="AR68" s="19">
        <f t="shared" si="67"/>
        <v>-0.25499999999999545</v>
      </c>
      <c r="AS68" s="39">
        <f t="shared" si="68"/>
        <v>-0.28399999999999181</v>
      </c>
      <c r="AT68" s="39">
        <f t="shared" si="69"/>
        <v>-0.42400000000000659</v>
      </c>
      <c r="AU68" s="39">
        <f t="shared" si="70"/>
        <v>-0.20099999999999341</v>
      </c>
      <c r="AV68" s="39">
        <f t="shared" si="71"/>
        <v>0.18899999999999295</v>
      </c>
      <c r="AW68" s="39">
        <f t="shared" si="53"/>
        <v>-0.22399999999998954</v>
      </c>
      <c r="AX68" s="39">
        <f t="shared" si="54"/>
        <v>-0.14400000000000546</v>
      </c>
      <c r="AY68" s="39">
        <f t="shared" si="77"/>
        <v>-0.35699999999999932</v>
      </c>
      <c r="AZ68" s="39">
        <f t="shared" si="56"/>
        <v>-0.19689999999999941</v>
      </c>
    </row>
    <row r="69" spans="1:52" x14ac:dyDescent="0.3">
      <c r="A69" s="3">
        <v>2160</v>
      </c>
      <c r="B69" s="37">
        <v>2078118.246</v>
      </c>
      <c r="C69" s="37">
        <v>6305388.148</v>
      </c>
      <c r="D69" s="37">
        <v>231.87299999999999</v>
      </c>
      <c r="E69" s="161" t="s">
        <v>31</v>
      </c>
      <c r="F69" s="81">
        <v>2012</v>
      </c>
      <c r="G69" s="37">
        <v>232.91</v>
      </c>
      <c r="H69" s="81">
        <v>2012</v>
      </c>
      <c r="I69" s="37">
        <v>232.88900000000001</v>
      </c>
      <c r="J69" s="81">
        <v>2022</v>
      </c>
      <c r="K69" s="58"/>
      <c r="L69" s="17">
        <v>232.88900000000001</v>
      </c>
      <c r="M69" s="17">
        <v>232.91</v>
      </c>
      <c r="N69" s="17">
        <v>232.67099999999999</v>
      </c>
      <c r="O69" s="17">
        <v>232.76</v>
      </c>
      <c r="P69" s="17">
        <v>232.71</v>
      </c>
      <c r="Q69" s="17">
        <v>232.679</v>
      </c>
      <c r="R69" s="37">
        <v>232.49100000000001</v>
      </c>
      <c r="S69" s="17">
        <v>232.57</v>
      </c>
      <c r="T69" s="37">
        <v>232.279</v>
      </c>
      <c r="U69" s="37">
        <v>232.41</v>
      </c>
      <c r="V69" s="37">
        <v>232.22200000000001</v>
      </c>
      <c r="W69" s="37">
        <v>232.29</v>
      </c>
      <c r="X69" s="37">
        <v>232.52600000000001</v>
      </c>
      <c r="Y69" s="37">
        <v>232.261</v>
      </c>
      <c r="Z69" s="37">
        <v>232.32499999999999</v>
      </c>
      <c r="AA69" s="45">
        <v>232.06899999999999</v>
      </c>
      <c r="AB69" s="45">
        <v>232.09899999999999</v>
      </c>
      <c r="AC69" s="45">
        <v>232.30699999999999</v>
      </c>
      <c r="AD69" s="90">
        <v>231.87299999999999</v>
      </c>
      <c r="AE69" s="90">
        <v>232.059</v>
      </c>
      <c r="AF69" s="22"/>
      <c r="AG69" s="17">
        <f t="shared" si="61"/>
        <v>-0.15000000000000568</v>
      </c>
      <c r="AH69" s="19">
        <f t="shared" si="62"/>
        <v>-8.0999999999988859E-2</v>
      </c>
      <c r="AI69" s="39">
        <f t="shared" si="63"/>
        <v>-0.10900000000000887</v>
      </c>
      <c r="AJ69" s="39">
        <f t="shared" si="64"/>
        <v>-0.15999999999999659</v>
      </c>
      <c r="AK69" s="39">
        <f t="shared" si="65"/>
        <v>-0.12000000000000455</v>
      </c>
      <c r="AL69" s="39">
        <f t="shared" si="72"/>
        <v>-2.8999999999996362E-2</v>
      </c>
      <c r="AM69" s="39">
        <f t="shared" si="73"/>
        <v>-0.19200000000000728</v>
      </c>
      <c r="AN69" s="51">
        <f t="shared" si="74"/>
        <v>3.0000000000001137E-2</v>
      </c>
      <c r="AO69" s="51">
        <f t="shared" si="75"/>
        <v>-0.22599999999999909</v>
      </c>
      <c r="AP69" s="53">
        <f t="shared" si="76"/>
        <v>-0.10370000000000061</v>
      </c>
      <c r="AQ69" s="31">
        <f t="shared" si="66"/>
        <v>-0.21800000000001774</v>
      </c>
      <c r="AR69" s="19">
        <f t="shared" si="67"/>
        <v>3.9000000000015689E-2</v>
      </c>
      <c r="AS69" s="39">
        <f t="shared" si="68"/>
        <v>-0.21899999999999409</v>
      </c>
      <c r="AT69" s="39">
        <f t="shared" si="69"/>
        <v>-0.21200000000001751</v>
      </c>
      <c r="AU69" s="39">
        <f t="shared" si="70"/>
        <v>-5.6999999999987949E-2</v>
      </c>
      <c r="AV69" s="39">
        <f t="shared" si="71"/>
        <v>0.30400000000000205</v>
      </c>
      <c r="AW69" s="39">
        <f t="shared" si="53"/>
        <v>-0.20100000000002183</v>
      </c>
      <c r="AX69" s="39">
        <f t="shared" si="54"/>
        <v>-9.0000000000003411E-3</v>
      </c>
      <c r="AY69" s="39">
        <f t="shared" si="77"/>
        <v>-0.24799999999999045</v>
      </c>
      <c r="AZ69" s="39">
        <f t="shared" si="56"/>
        <v>-8.3000000000001253E-2</v>
      </c>
    </row>
    <row r="70" spans="1:52" x14ac:dyDescent="0.3">
      <c r="A70" s="3">
        <v>2348</v>
      </c>
      <c r="B70" s="37">
        <v>2256684.5950000002</v>
      </c>
      <c r="C70" s="37">
        <v>6084032.5039999997</v>
      </c>
      <c r="D70" s="37">
        <v>111.983</v>
      </c>
      <c r="E70" s="161" t="s">
        <v>32</v>
      </c>
      <c r="F70" s="81">
        <v>2012</v>
      </c>
      <c r="G70" s="37">
        <v>113.328</v>
      </c>
      <c r="H70" s="81">
        <v>2012</v>
      </c>
      <c r="I70" s="37">
        <v>113.407</v>
      </c>
      <c r="J70" s="81">
        <v>2022</v>
      </c>
      <c r="K70" s="58"/>
      <c r="L70" s="17">
        <v>113.407</v>
      </c>
      <c r="M70" s="17">
        <v>113.328</v>
      </c>
      <c r="N70" s="17">
        <v>113.188</v>
      </c>
      <c r="O70" s="17">
        <v>113.16</v>
      </c>
      <c r="P70" s="17">
        <v>113.06</v>
      </c>
      <c r="Q70" s="17">
        <v>113.083</v>
      </c>
      <c r="R70" s="37">
        <v>112.88500000000001</v>
      </c>
      <c r="S70" s="17">
        <v>112.81699999999999</v>
      </c>
      <c r="T70" s="37">
        <v>112.779</v>
      </c>
      <c r="U70" s="37">
        <v>112.652</v>
      </c>
      <c r="V70" s="37">
        <v>112.583</v>
      </c>
      <c r="W70" s="37">
        <v>112.54</v>
      </c>
      <c r="X70" s="37">
        <v>112.43</v>
      </c>
      <c r="Y70" s="37">
        <v>112.455</v>
      </c>
      <c r="Z70" s="37">
        <v>112.355</v>
      </c>
      <c r="AA70" s="45">
        <v>112.307</v>
      </c>
      <c r="AB70" s="45">
        <v>112.151</v>
      </c>
      <c r="AC70" s="45">
        <v>112.015</v>
      </c>
      <c r="AD70" s="90">
        <v>111.983</v>
      </c>
      <c r="AE70" s="90">
        <v>111.845</v>
      </c>
      <c r="AF70" s="22"/>
      <c r="AG70" s="17">
        <f t="shared" si="61"/>
        <v>-0.16800000000000637</v>
      </c>
      <c r="AH70" s="19">
        <f t="shared" si="62"/>
        <v>-7.6999999999998181E-2</v>
      </c>
      <c r="AI70" s="39">
        <f t="shared" si="63"/>
        <v>-0.26600000000000534</v>
      </c>
      <c r="AJ70" s="39">
        <f t="shared" si="64"/>
        <v>-0.16499999999999204</v>
      </c>
      <c r="AK70" s="39">
        <f t="shared" si="65"/>
        <v>-0.11199999999999477</v>
      </c>
      <c r="AL70" s="39">
        <f t="shared" si="72"/>
        <v>-8.5000000000007958E-2</v>
      </c>
      <c r="AM70" s="39">
        <f t="shared" si="73"/>
        <v>-0.14799999999999613</v>
      </c>
      <c r="AN70" s="51">
        <f t="shared" si="74"/>
        <v>-0.15600000000000591</v>
      </c>
      <c r="AO70" s="51">
        <f t="shared" si="75"/>
        <v>-0.16799999999999216</v>
      </c>
      <c r="AP70" s="53">
        <f t="shared" si="76"/>
        <v>-0.1344999999999999</v>
      </c>
      <c r="AQ70" s="31">
        <f t="shared" si="66"/>
        <v>-0.21899999999999409</v>
      </c>
      <c r="AR70" s="19">
        <f t="shared" si="67"/>
        <v>-0.12800000000000011</v>
      </c>
      <c r="AS70" s="39">
        <f t="shared" si="68"/>
        <v>-0.17499999999999716</v>
      </c>
      <c r="AT70" s="39">
        <f t="shared" si="69"/>
        <v>-0.10600000000000875</v>
      </c>
      <c r="AU70" s="39">
        <f t="shared" si="70"/>
        <v>-0.19599999999999795</v>
      </c>
      <c r="AV70" s="39">
        <f t="shared" si="71"/>
        <v>-0.15299999999999159</v>
      </c>
      <c r="AW70" s="39">
        <f t="shared" si="53"/>
        <v>-7.5000000000002842E-2</v>
      </c>
      <c r="AX70" s="39">
        <f t="shared" si="54"/>
        <v>-0.17000000000000171</v>
      </c>
      <c r="AY70" s="39">
        <f t="shared" si="77"/>
        <v>-0.17000000000000171</v>
      </c>
      <c r="AZ70" s="39">
        <f t="shared" si="56"/>
        <v>-0.15619999999999976</v>
      </c>
    </row>
    <row r="71" spans="1:52" x14ac:dyDescent="0.3">
      <c r="A71" s="3">
        <v>2362</v>
      </c>
      <c r="B71" s="37">
        <v>2256922.943</v>
      </c>
      <c r="C71" s="37">
        <v>6143246.25</v>
      </c>
      <c r="D71" s="37">
        <v>145.62299999999999</v>
      </c>
      <c r="E71" s="161" t="s">
        <v>33</v>
      </c>
      <c r="F71" s="81">
        <v>2012</v>
      </c>
      <c r="G71" s="37">
        <v>149.571</v>
      </c>
      <c r="H71" s="81">
        <v>2012</v>
      </c>
      <c r="I71" s="37">
        <v>149.72900000000001</v>
      </c>
      <c r="J71" s="81">
        <v>2022</v>
      </c>
      <c r="K71" s="58"/>
      <c r="L71" s="17">
        <v>149.72900000000001</v>
      </c>
      <c r="M71" s="17">
        <v>149.571</v>
      </c>
      <c r="N71" s="17">
        <v>149.18100000000001</v>
      </c>
      <c r="O71" s="17">
        <v>149.02000000000001</v>
      </c>
      <c r="P71" s="17">
        <v>148.65</v>
      </c>
      <c r="Q71" s="17">
        <v>148.46700000000001</v>
      </c>
      <c r="R71" s="37">
        <v>147.886</v>
      </c>
      <c r="S71" s="17">
        <v>147.596</v>
      </c>
      <c r="T71" s="37">
        <v>147.298</v>
      </c>
      <c r="U71" s="37">
        <v>147.00700000000001</v>
      </c>
      <c r="V71" s="37">
        <v>146.797</v>
      </c>
      <c r="W71" s="37">
        <v>146.69</v>
      </c>
      <c r="X71" s="37">
        <v>146.47499999999999</v>
      </c>
      <c r="Y71" s="37">
        <v>146.39400000000001</v>
      </c>
      <c r="Z71" s="37">
        <v>146.31299999999999</v>
      </c>
      <c r="AA71" s="45">
        <v>146.22999999999999</v>
      </c>
      <c r="AB71" s="45">
        <v>145.959</v>
      </c>
      <c r="AC71" s="45">
        <v>145.69</v>
      </c>
      <c r="AD71" s="90">
        <v>145.62299999999999</v>
      </c>
      <c r="AE71" s="90">
        <v>145.374</v>
      </c>
      <c r="AF71" s="22"/>
      <c r="AG71" s="17">
        <f t="shared" si="61"/>
        <v>-0.55099999999998772</v>
      </c>
      <c r="AH71" s="19">
        <f t="shared" si="62"/>
        <v>-0.55299999999999727</v>
      </c>
      <c r="AI71" s="39">
        <f t="shared" si="63"/>
        <v>-0.87100000000000932</v>
      </c>
      <c r="AJ71" s="39">
        <f t="shared" si="64"/>
        <v>-0.58899999999999864</v>
      </c>
      <c r="AK71" s="39">
        <f t="shared" si="65"/>
        <v>-0.31700000000000728</v>
      </c>
      <c r="AL71" s="39">
        <f t="shared" si="72"/>
        <v>-0.29599999999999227</v>
      </c>
      <c r="AM71" s="39">
        <f t="shared" si="73"/>
        <v>-0.16400000000001569</v>
      </c>
      <c r="AN71" s="51">
        <f t="shared" si="74"/>
        <v>-0.27099999999998658</v>
      </c>
      <c r="AO71" s="51">
        <f t="shared" si="75"/>
        <v>-0.33600000000001273</v>
      </c>
      <c r="AP71" s="53">
        <f t="shared" si="76"/>
        <v>-0.39480000000000076</v>
      </c>
      <c r="AQ71" s="31">
        <f t="shared" si="66"/>
        <v>-0.54800000000000182</v>
      </c>
      <c r="AR71" s="19">
        <f t="shared" si="67"/>
        <v>-0.53100000000000591</v>
      </c>
      <c r="AS71" s="39">
        <f t="shared" si="68"/>
        <v>-0.76400000000001</v>
      </c>
      <c r="AT71" s="39">
        <f t="shared" si="69"/>
        <v>-0.58799999999999386</v>
      </c>
      <c r="AU71" s="39">
        <f t="shared" si="70"/>
        <v>-0.50100000000000477</v>
      </c>
      <c r="AV71" s="39">
        <f t="shared" si="71"/>
        <v>-0.32200000000000273</v>
      </c>
      <c r="AW71" s="39">
        <f t="shared" si="53"/>
        <v>-0.16200000000000614</v>
      </c>
      <c r="AX71" s="39">
        <f t="shared" si="54"/>
        <v>-0.31149999999999523</v>
      </c>
      <c r="AY71" s="39">
        <f t="shared" si="77"/>
        <v>-0.3160000000000025</v>
      </c>
      <c r="AZ71" s="39">
        <f t="shared" si="56"/>
        <v>-0.43550000000000183</v>
      </c>
    </row>
    <row r="72" spans="1:52" x14ac:dyDescent="0.3">
      <c r="A72" s="3">
        <v>2378</v>
      </c>
      <c r="B72" s="37">
        <v>2256382.0759999999</v>
      </c>
      <c r="C72" s="37">
        <v>6184306.4519999996</v>
      </c>
      <c r="D72" s="37">
        <v>177.923</v>
      </c>
      <c r="E72" s="161" t="s">
        <v>34</v>
      </c>
      <c r="F72" s="81">
        <v>2012</v>
      </c>
      <c r="G72" s="37">
        <v>182.41300000000001</v>
      </c>
      <c r="H72" s="81">
        <v>2012</v>
      </c>
      <c r="I72" s="37">
        <v>182.46199999999999</v>
      </c>
      <c r="J72" s="81">
        <v>2022</v>
      </c>
      <c r="K72" s="58"/>
      <c r="L72" s="17">
        <v>182.46199999999999</v>
      </c>
      <c r="M72" s="17">
        <v>182.41300000000001</v>
      </c>
      <c r="N72" s="17">
        <v>182.12799999999999</v>
      </c>
      <c r="O72" s="17">
        <v>181.96</v>
      </c>
      <c r="P72" s="17">
        <v>181.59</v>
      </c>
      <c r="Q72" s="17">
        <v>181.42400000000001</v>
      </c>
      <c r="R72" s="37">
        <v>180.874</v>
      </c>
      <c r="S72" s="17">
        <v>180.64400000000001</v>
      </c>
      <c r="T72" s="37">
        <v>180.435</v>
      </c>
      <c r="U72" s="37">
        <v>180.12799999999999</v>
      </c>
      <c r="V72" s="37">
        <v>179.84800000000001</v>
      </c>
      <c r="W72" s="37">
        <v>179.76</v>
      </c>
      <c r="X72" s="37">
        <v>179.41200000000001</v>
      </c>
      <c r="Y72" s="37">
        <v>179.256</v>
      </c>
      <c r="Z72" s="37">
        <v>179.09800000000001</v>
      </c>
      <c r="AA72" s="45">
        <v>178.97399999999999</v>
      </c>
      <c r="AB72" s="45">
        <v>178.58699999999999</v>
      </c>
      <c r="AC72" s="45">
        <v>178.18299999999999</v>
      </c>
      <c r="AD72" s="90">
        <v>177.923</v>
      </c>
      <c r="AE72" s="90">
        <v>177.714</v>
      </c>
      <c r="AF72" s="22"/>
      <c r="AG72" s="17">
        <f t="shared" si="61"/>
        <v>-0.45300000000000296</v>
      </c>
      <c r="AH72" s="19">
        <f t="shared" si="62"/>
        <v>-0.53600000000000136</v>
      </c>
      <c r="AI72" s="39">
        <f t="shared" si="63"/>
        <v>-0.78000000000000114</v>
      </c>
      <c r="AJ72" s="39">
        <f t="shared" si="64"/>
        <v>-0.51600000000001955</v>
      </c>
      <c r="AK72" s="39">
        <f t="shared" si="65"/>
        <v>-0.367999999999995</v>
      </c>
      <c r="AL72" s="39">
        <f t="shared" si="72"/>
        <v>-0.50399999999999068</v>
      </c>
      <c r="AM72" s="39">
        <f t="shared" si="73"/>
        <v>-0.28200000000001069</v>
      </c>
      <c r="AN72" s="51">
        <f t="shared" si="74"/>
        <v>-0.38700000000000045</v>
      </c>
      <c r="AO72" s="51">
        <f t="shared" si="75"/>
        <v>-0.66399999999998727</v>
      </c>
      <c r="AP72" s="53">
        <f t="shared" si="76"/>
        <v>-0.4490000000000009</v>
      </c>
      <c r="AQ72" s="31">
        <f t="shared" si="66"/>
        <v>-0.33400000000000318</v>
      </c>
      <c r="AR72" s="19">
        <f t="shared" si="67"/>
        <v>-0.53799999999998249</v>
      </c>
      <c r="AS72" s="39">
        <f t="shared" si="68"/>
        <v>-0.71600000000000819</v>
      </c>
      <c r="AT72" s="39">
        <f t="shared" si="69"/>
        <v>-0.43899999999999295</v>
      </c>
      <c r="AU72" s="39">
        <f t="shared" si="70"/>
        <v>-0.58699999999998909</v>
      </c>
      <c r="AV72" s="39">
        <f t="shared" si="71"/>
        <v>-0.43600000000000705</v>
      </c>
      <c r="AW72" s="39">
        <f t="shared" si="53"/>
        <v>-0.31399999999999295</v>
      </c>
      <c r="AX72" s="39">
        <f t="shared" si="54"/>
        <v>-0.45750000000001023</v>
      </c>
      <c r="AY72" s="39">
        <f t="shared" si="77"/>
        <v>-0.46899999999999409</v>
      </c>
      <c r="AZ72" s="39">
        <f t="shared" si="56"/>
        <v>-0.47479999999999906</v>
      </c>
    </row>
    <row r="73" spans="1:52" x14ac:dyDescent="0.3">
      <c r="A73" s="3">
        <v>2448</v>
      </c>
      <c r="B73" s="37">
        <v>2061261.165</v>
      </c>
      <c r="C73" s="37">
        <v>6266141.0369999995</v>
      </c>
      <c r="D73" s="37">
        <v>196.19</v>
      </c>
      <c r="E73" s="161" t="s">
        <v>35</v>
      </c>
      <c r="F73" s="81">
        <v>2012</v>
      </c>
      <c r="G73" s="37">
        <v>199.18100000000001</v>
      </c>
      <c r="H73" s="81">
        <v>2012</v>
      </c>
      <c r="I73" s="37">
        <v>199.15199999999999</v>
      </c>
      <c r="J73" s="81">
        <v>2022</v>
      </c>
      <c r="K73" s="58"/>
      <c r="L73" s="17">
        <v>199.15199999999999</v>
      </c>
      <c r="M73" s="17">
        <v>199.18100000000001</v>
      </c>
      <c r="N73" s="17">
        <v>198.89400000000001</v>
      </c>
      <c r="O73" s="17">
        <v>198.84</v>
      </c>
      <c r="P73" s="17">
        <v>198.51</v>
      </c>
      <c r="Q73" s="17">
        <v>198.43299999999999</v>
      </c>
      <c r="R73" s="37">
        <v>198.01599999999999</v>
      </c>
      <c r="S73" s="17">
        <v>197.99799999999999</v>
      </c>
      <c r="T73" s="37">
        <v>197.565</v>
      </c>
      <c r="U73" s="37">
        <v>197.62799999999999</v>
      </c>
      <c r="V73" s="37">
        <v>197.399</v>
      </c>
      <c r="W73" s="37">
        <v>197.46</v>
      </c>
      <c r="X73" s="37">
        <v>197.37899999999999</v>
      </c>
      <c r="Y73" s="37">
        <v>197.26</v>
      </c>
      <c r="Z73" s="37">
        <v>197.06800000000001</v>
      </c>
      <c r="AA73" s="45">
        <v>196.93899999999999</v>
      </c>
      <c r="AB73" s="45">
        <v>196.71</v>
      </c>
      <c r="AC73" s="45">
        <v>196.66300000000001</v>
      </c>
      <c r="AD73" s="90">
        <v>196.19</v>
      </c>
      <c r="AE73" s="90">
        <v>196.01</v>
      </c>
      <c r="AF73" s="22"/>
      <c r="AG73" s="17">
        <f t="shared" si="61"/>
        <v>-0.34100000000000819</v>
      </c>
      <c r="AH73" s="19">
        <f t="shared" si="62"/>
        <v>-0.40700000000001069</v>
      </c>
      <c r="AI73" s="39">
        <f t="shared" si="63"/>
        <v>-0.43500000000000227</v>
      </c>
      <c r="AJ73" s="39">
        <f t="shared" si="64"/>
        <v>-0.37000000000000455</v>
      </c>
      <c r="AK73" s="39">
        <f t="shared" si="65"/>
        <v>-0.16799999999997794</v>
      </c>
      <c r="AL73" s="39">
        <f t="shared" si="72"/>
        <v>-0.20000000000001705</v>
      </c>
      <c r="AM73" s="39">
        <f t="shared" si="73"/>
        <v>-0.32099999999999795</v>
      </c>
      <c r="AN73" s="51">
        <f t="shared" si="74"/>
        <v>-0.22899999999998499</v>
      </c>
      <c r="AO73" s="51">
        <f t="shared" si="75"/>
        <v>-0.52000000000001023</v>
      </c>
      <c r="AP73" s="53">
        <f t="shared" si="76"/>
        <v>-0.29910000000000136</v>
      </c>
      <c r="AQ73" s="31">
        <f t="shared" si="66"/>
        <v>-0.25799999999998136</v>
      </c>
      <c r="AR73" s="19">
        <f t="shared" si="67"/>
        <v>-0.38400000000001455</v>
      </c>
      <c r="AS73" s="39">
        <f t="shared" si="68"/>
        <v>-0.49399999999999977</v>
      </c>
      <c r="AT73" s="39">
        <f t="shared" si="69"/>
        <v>-0.45099999999999341</v>
      </c>
      <c r="AU73" s="39">
        <f t="shared" si="70"/>
        <v>-0.16599999999999682</v>
      </c>
      <c r="AV73" s="39">
        <f t="shared" si="71"/>
        <v>-2.0000000000010232E-2</v>
      </c>
      <c r="AW73" s="39">
        <f t="shared" si="53"/>
        <v>-0.31099999999997863</v>
      </c>
      <c r="AX73" s="39">
        <f t="shared" si="54"/>
        <v>-0.20250000000000057</v>
      </c>
      <c r="AY73" s="39">
        <f t="shared" si="77"/>
        <v>-0.65300000000002001</v>
      </c>
      <c r="AZ73" s="39">
        <f t="shared" si="56"/>
        <v>-0.31419999999999959</v>
      </c>
    </row>
    <row r="74" spans="1:52" x14ac:dyDescent="0.3">
      <c r="A74" s="28">
        <v>2562</v>
      </c>
      <c r="B74" s="2">
        <v>2232976.8360000001</v>
      </c>
      <c r="C74" s="2">
        <v>6129496.466</v>
      </c>
      <c r="D74" s="37">
        <v>130.928</v>
      </c>
      <c r="E74" s="161" t="s">
        <v>79</v>
      </c>
      <c r="F74" s="81">
        <v>2012</v>
      </c>
      <c r="G74" s="37">
        <v>133.58600000000001</v>
      </c>
      <c r="H74" s="81">
        <v>2012</v>
      </c>
      <c r="I74" s="37">
        <v>133.65700000000001</v>
      </c>
      <c r="J74" s="81">
        <v>2022</v>
      </c>
      <c r="K74" s="58"/>
      <c r="L74" s="17">
        <v>133.65700000000001</v>
      </c>
      <c r="M74" s="17">
        <v>133.58600000000001</v>
      </c>
      <c r="N74" s="17">
        <v>133.43100000000001</v>
      </c>
      <c r="O74" s="17">
        <v>133.29</v>
      </c>
      <c r="P74" s="17">
        <v>133.11000000000001</v>
      </c>
      <c r="Q74" s="17">
        <v>133.02600000000001</v>
      </c>
      <c r="R74" s="37">
        <v>132.52500000000001</v>
      </c>
      <c r="S74" s="17">
        <v>132.357</v>
      </c>
      <c r="T74" s="37">
        <v>132.256</v>
      </c>
      <c r="U74" s="37">
        <v>132.02099999999999</v>
      </c>
      <c r="V74" s="37">
        <v>131.863</v>
      </c>
      <c r="W74" s="37">
        <v>131.82</v>
      </c>
      <c r="X74" s="37">
        <v>131.70699999999999</v>
      </c>
      <c r="Y74" s="37">
        <v>131.61199999999999</v>
      </c>
      <c r="Z74" s="37">
        <v>131.495</v>
      </c>
      <c r="AA74" s="45"/>
      <c r="AB74" s="45">
        <v>131.21600000000001</v>
      </c>
      <c r="AC74" s="45">
        <v>130.99299999999999</v>
      </c>
      <c r="AD74" s="90">
        <v>130.928</v>
      </c>
      <c r="AE74" s="90">
        <v>130.80199999999999</v>
      </c>
      <c r="AF74" s="22"/>
      <c r="AG74" s="17">
        <f t="shared" si="61"/>
        <v>-0.29600000000002069</v>
      </c>
      <c r="AH74" s="19">
        <f t="shared" si="62"/>
        <v>-0.26399999999998158</v>
      </c>
      <c r="AI74" s="39">
        <f t="shared" si="63"/>
        <v>-0.66900000000001114</v>
      </c>
      <c r="AJ74" s="39">
        <f t="shared" si="64"/>
        <v>-0.33600000000001273</v>
      </c>
      <c r="AK74" s="39">
        <f t="shared" si="65"/>
        <v>-0.20099999999999341</v>
      </c>
      <c r="AL74" s="39">
        <f t="shared" si="72"/>
        <v>-0.20799999999999841</v>
      </c>
      <c r="AM74" s="39"/>
      <c r="AN74" s="51"/>
      <c r="AO74" s="51">
        <f t="shared" si="75"/>
        <v>-0.28800000000001091</v>
      </c>
      <c r="AP74" s="53">
        <f t="shared" si="76"/>
        <v>-0.26580000000000154</v>
      </c>
      <c r="AQ74" s="31">
        <f t="shared" si="66"/>
        <v>-0.22599999999999909</v>
      </c>
      <c r="AR74" s="19">
        <f t="shared" si="67"/>
        <v>-0.32099999999999795</v>
      </c>
      <c r="AS74" s="39">
        <f t="shared" si="68"/>
        <v>-0.58500000000000796</v>
      </c>
      <c r="AT74" s="39">
        <f t="shared" si="69"/>
        <v>-0.26900000000000546</v>
      </c>
      <c r="AU74" s="39">
        <f t="shared" si="70"/>
        <v>-0.39300000000000068</v>
      </c>
      <c r="AV74" s="39">
        <f t="shared" si="71"/>
        <v>-0.15600000000000591</v>
      </c>
      <c r="AW74" s="39">
        <f t="shared" si="53"/>
        <v>-0.21199999999998909</v>
      </c>
      <c r="AX74" s="39">
        <f t="shared" si="54"/>
        <v>-0.25100000000000477</v>
      </c>
      <c r="AY74" s="39">
        <f t="shared" si="77"/>
        <v>-0.1910000000000025</v>
      </c>
      <c r="AZ74" s="39">
        <f t="shared" si="56"/>
        <v>-0.28550000000000181</v>
      </c>
    </row>
    <row r="75" spans="1:52" x14ac:dyDescent="0.3">
      <c r="A75" s="3" t="s">
        <v>36</v>
      </c>
      <c r="B75" s="37">
        <v>2405238.9870000002</v>
      </c>
      <c r="C75" s="37">
        <v>6241496.4639999997</v>
      </c>
      <c r="D75" s="37">
        <v>1289.259</v>
      </c>
      <c r="E75" s="161" t="s">
        <v>37</v>
      </c>
      <c r="F75" s="81">
        <v>2013</v>
      </c>
      <c r="G75" s="37">
        <v>1289.229</v>
      </c>
      <c r="H75" s="81">
        <v>2014</v>
      </c>
      <c r="I75" s="37">
        <v>1289.27</v>
      </c>
      <c r="J75" s="81">
        <v>2022</v>
      </c>
      <c r="K75" s="58"/>
      <c r="L75" s="17"/>
      <c r="M75" s="17"/>
      <c r="N75" s="17"/>
      <c r="O75" s="17">
        <v>1289.229</v>
      </c>
      <c r="P75" s="17">
        <v>1289.27</v>
      </c>
      <c r="Q75" s="17">
        <v>1289.241</v>
      </c>
      <c r="R75" s="37">
        <v>1289.1510000000001</v>
      </c>
      <c r="S75" s="17">
        <v>1289.212</v>
      </c>
      <c r="T75" s="37">
        <v>1289.547</v>
      </c>
      <c r="U75" s="37">
        <v>1289.1189999999999</v>
      </c>
      <c r="V75" s="37">
        <v>1289.4870000000001</v>
      </c>
      <c r="W75" s="37">
        <v>1289.23</v>
      </c>
      <c r="X75" s="37">
        <v>1289.271</v>
      </c>
      <c r="Y75" s="37">
        <v>1289.4269999999999</v>
      </c>
      <c r="Z75" s="37">
        <v>1289.432</v>
      </c>
      <c r="AA75" s="45">
        <v>1289.451</v>
      </c>
      <c r="AB75" s="45">
        <v>1289.287</v>
      </c>
      <c r="AC75" s="45">
        <v>1289.404</v>
      </c>
      <c r="AD75" s="90">
        <v>1289.259</v>
      </c>
      <c r="AE75" s="90">
        <v>1289.45</v>
      </c>
      <c r="AF75" s="58"/>
      <c r="AG75" s="17"/>
      <c r="AH75" s="19">
        <f t="shared" si="62"/>
        <v>1.1999999999943611E-2</v>
      </c>
      <c r="AI75" s="39">
        <f t="shared" si="63"/>
        <v>-2.8999999999996362E-2</v>
      </c>
      <c r="AJ75" s="39">
        <f t="shared" si="64"/>
        <v>-9.3000000000074579E-2</v>
      </c>
      <c r="AK75" s="39">
        <f t="shared" si="65"/>
        <v>0.11100000000010368</v>
      </c>
      <c r="AL75" s="39">
        <f t="shared" si="72"/>
        <v>0.19699999999988904</v>
      </c>
      <c r="AM75" s="39">
        <f t="shared" ref="AM75:AM81" si="78">AA75-Y75</f>
        <v>2.4000000000114596E-2</v>
      </c>
      <c r="AN75" s="51">
        <f>AB75-AA75</f>
        <v>-0.16399999999998727</v>
      </c>
      <c r="AO75" s="51">
        <f t="shared" si="75"/>
        <v>-2.8000000000020009E-2</v>
      </c>
      <c r="AP75" s="53">
        <f t="shared" si="76"/>
        <v>3.3333333333303017E-3</v>
      </c>
      <c r="AQ75" s="31"/>
      <c r="AR75" s="18"/>
      <c r="AS75" s="39">
        <f t="shared" si="68"/>
        <v>-0.11899999999991451</v>
      </c>
      <c r="AT75" s="39">
        <f t="shared" si="69"/>
        <v>0.39599999999995816</v>
      </c>
      <c r="AU75" s="39">
        <f t="shared" si="70"/>
        <v>-5.999999999994543E-2</v>
      </c>
      <c r="AV75" s="39">
        <f t="shared" si="71"/>
        <v>-0.21600000000012187</v>
      </c>
      <c r="AW75" s="39">
        <f t="shared" si="53"/>
        <v>0.16100000000005821</v>
      </c>
      <c r="AX75" s="39">
        <f t="shared" si="54"/>
        <v>-1.4000000000010004E-2</v>
      </c>
      <c r="AY75" s="39">
        <f t="shared" si="77"/>
        <v>4.6000000000049113E-2</v>
      </c>
      <c r="AZ75" s="38">
        <f t="shared" si="56"/>
        <v>2.2500000000007958E-2</v>
      </c>
    </row>
    <row r="76" spans="1:52" x14ac:dyDescent="0.3">
      <c r="A76" s="3" t="s">
        <v>38</v>
      </c>
      <c r="B76" s="37">
        <v>2273179.39</v>
      </c>
      <c r="C76" s="37">
        <v>6009947.625</v>
      </c>
      <c r="D76" s="37">
        <v>137.71799999999999</v>
      </c>
      <c r="E76" s="161" t="s">
        <v>78</v>
      </c>
      <c r="F76" s="81">
        <v>2013</v>
      </c>
      <c r="G76" s="37">
        <v>137.98500000000001</v>
      </c>
      <c r="H76" s="81">
        <v>2014</v>
      </c>
      <c r="I76" s="37">
        <v>137.96</v>
      </c>
      <c r="J76" s="81">
        <v>2022</v>
      </c>
      <c r="K76" s="58"/>
      <c r="L76" s="17"/>
      <c r="M76" s="17"/>
      <c r="N76" s="17"/>
      <c r="O76" s="17">
        <v>137.98500000000001</v>
      </c>
      <c r="P76" s="17">
        <v>137.96</v>
      </c>
      <c r="Q76" s="17">
        <v>137.88</v>
      </c>
      <c r="R76" s="37">
        <v>137.886</v>
      </c>
      <c r="S76" s="17">
        <v>137.81399999999999</v>
      </c>
      <c r="T76" s="37">
        <v>137.851</v>
      </c>
      <c r="U76" s="37">
        <v>137.88200000000001</v>
      </c>
      <c r="V76" s="37">
        <v>137.95599999999999</v>
      </c>
      <c r="W76" s="37">
        <v>137.94</v>
      </c>
      <c r="X76" s="37">
        <v>137.84100000000001</v>
      </c>
      <c r="Y76" s="37">
        <v>137.90100000000001</v>
      </c>
      <c r="Z76" s="37">
        <v>137.881</v>
      </c>
      <c r="AA76" s="45">
        <v>137.999</v>
      </c>
      <c r="AB76" s="45">
        <v>137.816</v>
      </c>
      <c r="AC76" s="45">
        <v>137.792</v>
      </c>
      <c r="AD76" s="90">
        <v>137.71799999999999</v>
      </c>
      <c r="AE76" s="90">
        <v>137.72200000000001</v>
      </c>
      <c r="AF76" s="58"/>
      <c r="AG76" s="17"/>
      <c r="AH76" s="19">
        <f t="shared" ref="AH76:AH83" si="79">Q76-O76</f>
        <v>-0.10500000000001819</v>
      </c>
      <c r="AI76" s="39">
        <f t="shared" ref="AI76:AI83" si="80">S76-Q76</f>
        <v>-6.6000000000002501E-2</v>
      </c>
      <c r="AJ76" s="39">
        <f t="shared" ref="AJ76:AJ82" si="81">U76-S76</f>
        <v>6.8000000000012051E-2</v>
      </c>
      <c r="AK76" s="39">
        <f t="shared" si="65"/>
        <v>5.7999999999992724E-2</v>
      </c>
      <c r="AL76" s="39">
        <f t="shared" si="72"/>
        <v>-3.8999999999987267E-2</v>
      </c>
      <c r="AM76" s="39">
        <f t="shared" si="78"/>
        <v>9.7999999999984766E-2</v>
      </c>
      <c r="AN76" s="51">
        <f>AB76-AA76</f>
        <v>-0.18299999999999272</v>
      </c>
      <c r="AO76" s="51">
        <f t="shared" si="75"/>
        <v>-9.8000000000013188E-2</v>
      </c>
      <c r="AP76" s="53">
        <f t="shared" si="76"/>
        <v>-2.966666666666937E-2</v>
      </c>
      <c r="AQ76" s="31"/>
      <c r="AR76" s="18"/>
      <c r="AS76" s="39">
        <f t="shared" ref="AS76:AS83" si="82">R76-P76</f>
        <v>-7.4000000000012278E-2</v>
      </c>
      <c r="AT76" s="39">
        <f t="shared" ref="AT76:AT83" si="83">T76-R76</f>
        <v>-3.4999999999996589E-2</v>
      </c>
      <c r="AU76" s="39">
        <f t="shared" si="70"/>
        <v>0.10499999999998977</v>
      </c>
      <c r="AV76" s="39">
        <f t="shared" ref="AV76:AV83" si="84">X76-V76</f>
        <v>-0.11499999999998067</v>
      </c>
      <c r="AW76" s="39">
        <f t="shared" si="53"/>
        <v>3.9999999999992042E-2</v>
      </c>
      <c r="AX76" s="39">
        <f t="shared" si="54"/>
        <v>-4.4499999999999318E-2</v>
      </c>
      <c r="AY76" s="39">
        <f t="shared" si="77"/>
        <v>-6.9999999999993179E-2</v>
      </c>
      <c r="AZ76" s="38">
        <f t="shared" si="56"/>
        <v>-2.9749999999999943E-2</v>
      </c>
    </row>
    <row r="77" spans="1:52" x14ac:dyDescent="0.3">
      <c r="A77" s="28" t="s">
        <v>39</v>
      </c>
      <c r="B77" s="37">
        <v>2197033.037</v>
      </c>
      <c r="C77" s="37">
        <v>6077365.8770000003</v>
      </c>
      <c r="D77" s="37">
        <v>189.322</v>
      </c>
      <c r="E77" s="161" t="s">
        <v>40</v>
      </c>
      <c r="F77" s="81">
        <v>2013</v>
      </c>
      <c r="G77" s="37">
        <v>189.93</v>
      </c>
      <c r="H77" s="81">
        <v>2014</v>
      </c>
      <c r="I77" s="40">
        <v>189.77</v>
      </c>
      <c r="J77" s="81">
        <v>2022</v>
      </c>
      <c r="K77" s="58"/>
      <c r="L77" s="17"/>
      <c r="M77" s="17"/>
      <c r="N77" s="17"/>
      <c r="O77" s="17">
        <v>189.93</v>
      </c>
      <c r="P77" s="21">
        <v>189.77</v>
      </c>
      <c r="Q77" s="21">
        <v>189.85409999999999</v>
      </c>
      <c r="R77" s="40">
        <v>189.715</v>
      </c>
      <c r="S77" s="17">
        <v>189.661</v>
      </c>
      <c r="T77" s="37">
        <v>189.63300000000001</v>
      </c>
      <c r="U77" s="37">
        <v>189.52099999999999</v>
      </c>
      <c r="V77" s="37">
        <v>189.57</v>
      </c>
      <c r="W77" s="37">
        <v>189.6</v>
      </c>
      <c r="X77" s="37">
        <v>189.56700000000001</v>
      </c>
      <c r="Y77" s="37">
        <v>189.53</v>
      </c>
      <c r="Z77" s="37">
        <v>189.54</v>
      </c>
      <c r="AA77" s="45">
        <v>189.511</v>
      </c>
      <c r="AB77" s="45">
        <v>189.465</v>
      </c>
      <c r="AC77" s="45">
        <v>189.30600000000001</v>
      </c>
      <c r="AD77" s="90">
        <v>189.322</v>
      </c>
      <c r="AE77" s="90">
        <v>189.279</v>
      </c>
      <c r="AF77" s="58"/>
      <c r="AG77" s="17"/>
      <c r="AH77" s="19">
        <f t="shared" si="79"/>
        <v>-7.5900000000018508E-2</v>
      </c>
      <c r="AI77" s="39">
        <f t="shared" si="80"/>
        <v>-0.19309999999998695</v>
      </c>
      <c r="AJ77" s="39">
        <f t="shared" si="81"/>
        <v>-0.14000000000001478</v>
      </c>
      <c r="AK77" s="39">
        <f t="shared" si="65"/>
        <v>7.9000000000007731E-2</v>
      </c>
      <c r="AL77" s="39">
        <f t="shared" si="72"/>
        <v>-6.9999999999993179E-2</v>
      </c>
      <c r="AM77" s="39">
        <f t="shared" si="78"/>
        <v>-1.9000000000005457E-2</v>
      </c>
      <c r="AN77" s="51">
        <f>AB77-AA77</f>
        <v>-4.5999999999992269E-2</v>
      </c>
      <c r="AO77" s="51">
        <f t="shared" si="75"/>
        <v>-0.14300000000000068</v>
      </c>
      <c r="AP77" s="53">
        <f t="shared" si="76"/>
        <v>-6.7555555555556007E-2</v>
      </c>
      <c r="AQ77" s="31"/>
      <c r="AR77" s="18"/>
      <c r="AS77" s="39">
        <f t="shared" si="82"/>
        <v>-5.5000000000006821E-2</v>
      </c>
      <c r="AT77" s="39">
        <f t="shared" si="83"/>
        <v>-8.1999999999993634E-2</v>
      </c>
      <c r="AU77" s="39">
        <f t="shared" si="70"/>
        <v>-6.3000000000016598E-2</v>
      </c>
      <c r="AV77" s="39">
        <f t="shared" si="84"/>
        <v>-2.9999999999859028E-3</v>
      </c>
      <c r="AW77" s="39">
        <f t="shared" si="53"/>
        <v>-2.7000000000015234E-2</v>
      </c>
      <c r="AX77" s="39">
        <f t="shared" si="54"/>
        <v>-0.11699999999999022</v>
      </c>
      <c r="AY77" s="39">
        <f t="shared" si="77"/>
        <v>-2.7000000000015234E-2</v>
      </c>
      <c r="AZ77" s="38">
        <f t="shared" si="56"/>
        <v>-6.1375000000001734E-2</v>
      </c>
    </row>
    <row r="78" spans="1:52" s="35" customFormat="1" x14ac:dyDescent="0.3">
      <c r="A78" s="28" t="s">
        <v>131</v>
      </c>
      <c r="B78" s="37">
        <v>2170094.6340000001</v>
      </c>
      <c r="C78" s="37">
        <v>6102734.8200000003</v>
      </c>
      <c r="D78" s="37">
        <v>241.24</v>
      </c>
      <c r="E78" s="161" t="s">
        <v>132</v>
      </c>
      <c r="F78" s="81">
        <v>2022</v>
      </c>
      <c r="G78" s="37">
        <v>241.24</v>
      </c>
      <c r="H78" s="81">
        <v>2021</v>
      </c>
      <c r="I78" s="40">
        <v>241.226</v>
      </c>
      <c r="J78" s="81">
        <v>2022</v>
      </c>
      <c r="K78" s="58"/>
      <c r="L78" s="37"/>
      <c r="M78" s="37"/>
      <c r="N78" s="37"/>
      <c r="O78" s="37"/>
      <c r="P78" s="40"/>
      <c r="Q78" s="40"/>
      <c r="R78" s="40"/>
      <c r="S78" s="37"/>
      <c r="T78" s="37"/>
      <c r="U78" s="37"/>
      <c r="V78" s="37"/>
      <c r="W78" s="37"/>
      <c r="X78" s="37"/>
      <c r="Y78" s="37"/>
      <c r="Z78" s="37"/>
      <c r="AA78" s="45"/>
      <c r="AB78" s="45"/>
      <c r="AC78" s="45">
        <v>241.226</v>
      </c>
      <c r="AD78" s="90">
        <v>241.24</v>
      </c>
      <c r="AE78" s="90">
        <v>241.10499999999999</v>
      </c>
      <c r="AF78" s="58"/>
      <c r="AG78" s="37"/>
      <c r="AH78" s="39"/>
      <c r="AI78" s="39"/>
      <c r="AJ78" s="39"/>
      <c r="AK78" s="39"/>
      <c r="AL78" s="39"/>
      <c r="AM78" s="39"/>
      <c r="AN78" s="51"/>
      <c r="AO78" s="51"/>
      <c r="AP78" s="53"/>
      <c r="AQ78" s="31"/>
      <c r="AR78" s="38"/>
      <c r="AS78" s="39"/>
      <c r="AT78" s="39"/>
      <c r="AU78" s="39"/>
      <c r="AV78" s="39"/>
      <c r="AW78" s="39"/>
      <c r="AX78" s="39"/>
      <c r="AY78" s="39">
        <f t="shared" si="77"/>
        <v>-0.12100000000000932</v>
      </c>
      <c r="AZ78" s="38">
        <f t="shared" si="56"/>
        <v>-0.12100000000000932</v>
      </c>
    </row>
    <row r="79" spans="1:52" x14ac:dyDescent="0.3">
      <c r="A79" s="3" t="s">
        <v>41</v>
      </c>
      <c r="B79" s="40">
        <v>2143813.3859999999</v>
      </c>
      <c r="C79" s="40">
        <v>6133818.5650000004</v>
      </c>
      <c r="D79" s="40">
        <v>232.947</v>
      </c>
      <c r="E79" s="161" t="s">
        <v>42</v>
      </c>
      <c r="F79" s="81">
        <v>2013</v>
      </c>
      <c r="G79" s="37">
        <v>233.74</v>
      </c>
      <c r="H79" s="81">
        <v>2014</v>
      </c>
      <c r="I79" s="37">
        <v>233.55</v>
      </c>
      <c r="J79" s="81">
        <v>2022</v>
      </c>
      <c r="K79" s="58"/>
      <c r="L79" s="17"/>
      <c r="M79" s="17"/>
      <c r="N79" s="17"/>
      <c r="O79" s="17">
        <v>233.74</v>
      </c>
      <c r="P79" s="17">
        <v>233.55</v>
      </c>
      <c r="Q79" s="17">
        <v>233.613</v>
      </c>
      <c r="R79" s="37">
        <v>233.42699999999999</v>
      </c>
      <c r="S79" s="17">
        <v>233.29900000000001</v>
      </c>
      <c r="T79" s="37">
        <v>233.24799999999999</v>
      </c>
      <c r="U79" s="37">
        <v>233.17500000000001</v>
      </c>
      <c r="V79" s="37">
        <v>233.27600000000001</v>
      </c>
      <c r="W79" s="37">
        <v>233.37</v>
      </c>
      <c r="X79" s="37">
        <v>233.40299999999999</v>
      </c>
      <c r="Y79" s="37">
        <v>233.27</v>
      </c>
      <c r="Z79" s="37">
        <v>233.33099999999999</v>
      </c>
      <c r="AA79" s="45">
        <v>233.245</v>
      </c>
      <c r="AB79" s="45">
        <v>233.13399999999999</v>
      </c>
      <c r="AC79" s="45">
        <v>232.95500000000001</v>
      </c>
      <c r="AD79" s="90">
        <v>232.947</v>
      </c>
      <c r="AE79" s="90">
        <v>232.76300000000001</v>
      </c>
      <c r="AF79" s="58"/>
      <c r="AG79" s="17"/>
      <c r="AH79" s="19">
        <f t="shared" si="79"/>
        <v>-0.12700000000000955</v>
      </c>
      <c r="AI79" s="39">
        <f t="shared" si="80"/>
        <v>-0.31399999999999295</v>
      </c>
      <c r="AJ79" s="39">
        <f t="shared" si="81"/>
        <v>-0.12399999999999523</v>
      </c>
      <c r="AK79" s="39">
        <f>W79-U79</f>
        <v>0.19499999999999318</v>
      </c>
      <c r="AL79" s="39">
        <f>Y79-W79</f>
        <v>-9.9999999999994316E-2</v>
      </c>
      <c r="AM79" s="39">
        <f t="shared" si="78"/>
        <v>-2.5000000000005684E-2</v>
      </c>
      <c r="AN79" s="51">
        <f>AB79-AA79</f>
        <v>-0.11100000000001842</v>
      </c>
      <c r="AO79" s="51">
        <f t="shared" ref="AO79:AO83" si="85">AD79-AB79</f>
        <v>-0.1869999999999834</v>
      </c>
      <c r="AP79" s="53">
        <f t="shared" ref="AP79:AP83" si="86">(AD79-G79)/(J79-F79)</f>
        <v>-8.811111111111182E-2</v>
      </c>
      <c r="AQ79" s="31"/>
      <c r="AR79" s="18"/>
      <c r="AS79" s="39">
        <f t="shared" si="82"/>
        <v>-0.12300000000001887</v>
      </c>
      <c r="AT79" s="39">
        <f t="shared" si="83"/>
        <v>-0.17900000000000205</v>
      </c>
      <c r="AU79" s="39">
        <f>V79-T79</f>
        <v>2.8000000000020009E-2</v>
      </c>
      <c r="AV79" s="39">
        <f t="shared" si="84"/>
        <v>0.12699999999998113</v>
      </c>
      <c r="AW79" s="39">
        <f>Z79-X79</f>
        <v>-7.2000000000002728E-2</v>
      </c>
      <c r="AX79" s="39">
        <f>(AC79-Z79)/2</f>
        <v>-0.18799999999998818</v>
      </c>
      <c r="AY79" s="39">
        <f t="shared" si="77"/>
        <v>-0.19200000000000728</v>
      </c>
      <c r="AZ79" s="38">
        <f t="shared" si="56"/>
        <v>-9.8375000000000767E-2</v>
      </c>
    </row>
    <row r="80" spans="1:52" x14ac:dyDescent="0.3">
      <c r="A80" s="10" t="s">
        <v>113</v>
      </c>
      <c r="B80" s="64">
        <v>2143787.773</v>
      </c>
      <c r="C80" s="64">
        <v>6458478.2759999996</v>
      </c>
      <c r="D80" s="64">
        <v>506.67200000000003</v>
      </c>
      <c r="E80" s="161" t="s">
        <v>112</v>
      </c>
      <c r="F80" s="81">
        <v>2013</v>
      </c>
      <c r="G80" s="37">
        <v>506.64499999999998</v>
      </c>
      <c r="H80" s="81">
        <v>2014</v>
      </c>
      <c r="I80" s="37">
        <v>506.77</v>
      </c>
      <c r="J80" s="81">
        <v>2022</v>
      </c>
      <c r="K80" s="58"/>
      <c r="L80" s="17"/>
      <c r="M80" s="17"/>
      <c r="N80" s="17"/>
      <c r="O80" s="17">
        <v>506.64499999999998</v>
      </c>
      <c r="P80" s="17">
        <v>506.77</v>
      </c>
      <c r="Q80" s="17">
        <v>506.65600000000001</v>
      </c>
      <c r="R80" s="37">
        <v>506.78300000000002</v>
      </c>
      <c r="S80" s="17">
        <v>506.74400000000003</v>
      </c>
      <c r="T80" s="37">
        <v>506.61799999999999</v>
      </c>
      <c r="U80" s="37">
        <v>506.70299999999997</v>
      </c>
      <c r="V80" s="37">
        <v>506.72199999999998</v>
      </c>
      <c r="W80" s="37">
        <v>506.69</v>
      </c>
      <c r="X80" s="37">
        <v>506.673</v>
      </c>
      <c r="Y80" s="37">
        <v>506.61399999999998</v>
      </c>
      <c r="Z80" s="37">
        <f>502.422+4.2</f>
        <v>506.62200000000001</v>
      </c>
      <c r="AA80" s="45">
        <v>506.59100000000001</v>
      </c>
      <c r="AB80" s="45">
        <v>506.64400000000001</v>
      </c>
      <c r="AC80" s="45">
        <v>506.56200000000001</v>
      </c>
      <c r="AD80" s="90">
        <v>506.67200000000003</v>
      </c>
      <c r="AE80" s="90">
        <v>506.714</v>
      </c>
      <c r="AF80" s="58"/>
      <c r="AG80" s="17"/>
      <c r="AH80" s="19">
        <f t="shared" si="79"/>
        <v>1.1000000000024102E-2</v>
      </c>
      <c r="AI80" s="39">
        <f t="shared" si="80"/>
        <v>8.8000000000022283E-2</v>
      </c>
      <c r="AJ80" s="39">
        <f t="shared" si="81"/>
        <v>-4.100000000005366E-2</v>
      </c>
      <c r="AK80" s="39">
        <f>W80-U80</f>
        <v>-1.2999999999976808E-2</v>
      </c>
      <c r="AL80" s="39">
        <f>Y80-W80</f>
        <v>-7.6000000000021828E-2</v>
      </c>
      <c r="AM80" s="39">
        <f t="shared" si="78"/>
        <v>-2.2999999999967713E-2</v>
      </c>
      <c r="AN80" s="51">
        <f>AB80-AA80</f>
        <v>5.2999999999997272E-2</v>
      </c>
      <c r="AO80" s="51">
        <f t="shared" si="85"/>
        <v>2.8000000000020009E-2</v>
      </c>
      <c r="AP80" s="53">
        <f t="shared" si="86"/>
        <v>3.0000000000048508E-3</v>
      </c>
      <c r="AQ80" s="31"/>
      <c r="AR80" s="18"/>
      <c r="AS80" s="39">
        <f t="shared" si="82"/>
        <v>1.3000000000033651E-2</v>
      </c>
      <c r="AT80" s="39">
        <f t="shared" si="83"/>
        <v>-0.16500000000002046</v>
      </c>
      <c r="AU80" s="39">
        <f>V80-T80</f>
        <v>0.10399999999998499</v>
      </c>
      <c r="AV80" s="39">
        <f t="shared" si="84"/>
        <v>-4.8999999999978172E-2</v>
      </c>
      <c r="AW80" s="39">
        <f>Z80-X80</f>
        <v>-5.0999999999987722E-2</v>
      </c>
      <c r="AX80" s="39">
        <f>(AC80-Z80)/2</f>
        <v>-3.0000000000001137E-2</v>
      </c>
      <c r="AY80" s="39">
        <f t="shared" si="77"/>
        <v>0.15199999999998681</v>
      </c>
      <c r="AZ80" s="38">
        <f t="shared" si="56"/>
        <v>-6.9999999999978968E-3</v>
      </c>
    </row>
    <row r="81" spans="1:52" x14ac:dyDescent="0.3">
      <c r="A81" s="3" t="s">
        <v>43</v>
      </c>
      <c r="B81" s="40">
        <v>2172507.7349999999</v>
      </c>
      <c r="C81" s="40">
        <v>6031179.3169999998</v>
      </c>
      <c r="D81" s="40">
        <v>704.52</v>
      </c>
      <c r="E81" s="161" t="s">
        <v>44</v>
      </c>
      <c r="F81" s="81">
        <v>2013</v>
      </c>
      <c r="G81" s="37">
        <v>704.59799999999996</v>
      </c>
      <c r="H81" s="81">
        <v>2014</v>
      </c>
      <c r="I81" s="37">
        <v>704.5</v>
      </c>
      <c r="J81" s="81">
        <v>2022</v>
      </c>
      <c r="K81" s="58"/>
      <c r="L81" s="17"/>
      <c r="M81" s="17"/>
      <c r="N81" s="17"/>
      <c r="O81" s="17">
        <v>704.59799999999996</v>
      </c>
      <c r="P81" s="17">
        <v>704.5</v>
      </c>
      <c r="Q81" s="17">
        <v>704.71</v>
      </c>
      <c r="R81" s="37">
        <v>704.60299999999995</v>
      </c>
      <c r="S81" s="17">
        <v>704.57</v>
      </c>
      <c r="T81" s="37">
        <v>704.61900000000003</v>
      </c>
      <c r="U81" s="37">
        <v>704.56799999999998</v>
      </c>
      <c r="V81" s="37">
        <v>704.61199999999997</v>
      </c>
      <c r="W81" s="37">
        <v>704.59</v>
      </c>
      <c r="X81" s="37">
        <v>704.66499999999996</v>
      </c>
      <c r="Y81" s="37">
        <v>704.55700000000002</v>
      </c>
      <c r="Z81" s="37">
        <v>704.61699999999996</v>
      </c>
      <c r="AA81" s="45">
        <v>704.53599999999994</v>
      </c>
      <c r="AB81" s="45">
        <v>704.63400000000001</v>
      </c>
      <c r="AC81" s="45">
        <v>704.47199999999998</v>
      </c>
      <c r="AD81" s="90">
        <v>704.52</v>
      </c>
      <c r="AE81" s="90">
        <v>704.59500000000003</v>
      </c>
      <c r="AF81" s="58"/>
      <c r="AG81" s="17"/>
      <c r="AH81" s="19">
        <f t="shared" si="79"/>
        <v>0.11200000000008004</v>
      </c>
      <c r="AI81" s="39">
        <f t="shared" si="80"/>
        <v>-0.13999999999998636</v>
      </c>
      <c r="AJ81" s="39">
        <f t="shared" si="81"/>
        <v>-2.0000000000663931E-3</v>
      </c>
      <c r="AK81" s="39">
        <f>W81-U81</f>
        <v>2.2000000000048203E-2</v>
      </c>
      <c r="AL81" s="39">
        <f>Y81-W81</f>
        <v>-3.3000000000015461E-2</v>
      </c>
      <c r="AM81" s="39">
        <f t="shared" si="78"/>
        <v>-2.100000000007185E-2</v>
      </c>
      <c r="AN81" s="51">
        <f>AB81-AA81</f>
        <v>9.8000000000070031E-2</v>
      </c>
      <c r="AO81" s="51">
        <f t="shared" si="85"/>
        <v>-0.11400000000003274</v>
      </c>
      <c r="AP81" s="53">
        <f t="shared" si="86"/>
        <v>-8.6666666666638369E-3</v>
      </c>
      <c r="AQ81" s="31"/>
      <c r="AR81" s="18"/>
      <c r="AS81" s="39">
        <f t="shared" si="82"/>
        <v>0.1029999999999518</v>
      </c>
      <c r="AT81" s="39">
        <f t="shared" si="83"/>
        <v>1.6000000000076398E-2</v>
      </c>
      <c r="AU81" s="39">
        <f>V81-T81</f>
        <v>-7.0000000000618456E-3</v>
      </c>
      <c r="AV81" s="39">
        <f t="shared" si="84"/>
        <v>5.2999999999997272E-2</v>
      </c>
      <c r="AW81" s="39">
        <f>Z81-X81</f>
        <v>-4.8000000000001819E-2</v>
      </c>
      <c r="AX81" s="39">
        <f>(AC81-Z81)/2</f>
        <v>-7.2499999999990905E-2</v>
      </c>
      <c r="AY81" s="39">
        <f t="shared" si="77"/>
        <v>0.12300000000004729</v>
      </c>
      <c r="AZ81" s="38">
        <f t="shared" si="56"/>
        <v>1.1875000000003411E-2</v>
      </c>
    </row>
    <row r="82" spans="1:52" x14ac:dyDescent="0.3">
      <c r="A82" s="28" t="s">
        <v>45</v>
      </c>
      <c r="B82" s="40">
        <v>2082514.9129999999</v>
      </c>
      <c r="C82" s="40">
        <v>6102978.7779999999</v>
      </c>
      <c r="D82" s="40">
        <v>1103.6110000000001</v>
      </c>
      <c r="E82" s="161" t="s">
        <v>46</v>
      </c>
      <c r="F82" s="81">
        <v>2013</v>
      </c>
      <c r="G82" s="37">
        <v>1103.6020000000001</v>
      </c>
      <c r="H82" s="81">
        <v>2014</v>
      </c>
      <c r="I82" s="37">
        <v>1103.5</v>
      </c>
      <c r="J82" s="81">
        <v>2022</v>
      </c>
      <c r="K82" s="58"/>
      <c r="L82" s="17"/>
      <c r="M82" s="17"/>
      <c r="N82" s="17"/>
      <c r="O82" s="17">
        <v>1103.6020000000001</v>
      </c>
      <c r="P82" s="17">
        <v>1103.5</v>
      </c>
      <c r="Q82" s="17">
        <v>1103.529</v>
      </c>
      <c r="R82" s="37">
        <v>1103.5989999999999</v>
      </c>
      <c r="S82" s="17">
        <v>1103.5840000000001</v>
      </c>
      <c r="T82" s="37">
        <v>1103.5920000000001</v>
      </c>
      <c r="U82" s="37">
        <v>1103.624</v>
      </c>
      <c r="V82" s="37">
        <v>1103.6289999999999</v>
      </c>
      <c r="W82" s="37">
        <v>1103.55</v>
      </c>
      <c r="X82" s="37">
        <v>1103.694</v>
      </c>
      <c r="Y82" s="37">
        <v>1103.5820000000001</v>
      </c>
      <c r="Z82" s="37">
        <v>1103.548</v>
      </c>
      <c r="AA82" s="45"/>
      <c r="AB82" s="45">
        <v>1103.5550000000001</v>
      </c>
      <c r="AC82" s="45">
        <v>1103.5909999999999</v>
      </c>
      <c r="AD82" s="90">
        <v>1103.6110000000001</v>
      </c>
      <c r="AE82" s="90">
        <v>1103.5550000000001</v>
      </c>
      <c r="AF82" s="58"/>
      <c r="AG82" s="17"/>
      <c r="AH82" s="19">
        <f t="shared" si="79"/>
        <v>-7.3000000000092768E-2</v>
      </c>
      <c r="AI82" s="39">
        <f t="shared" si="80"/>
        <v>5.5000000000063665E-2</v>
      </c>
      <c r="AJ82" s="39">
        <f t="shared" si="81"/>
        <v>3.999999999996362E-2</v>
      </c>
      <c r="AK82" s="39">
        <f>W82-U82</f>
        <v>-7.4000000000069122E-2</v>
      </c>
      <c r="AL82" s="39">
        <f>Y82-W82</f>
        <v>3.2000000000152795E-2</v>
      </c>
      <c r="AM82" s="39"/>
      <c r="AN82" s="51"/>
      <c r="AO82" s="51">
        <f t="shared" si="85"/>
        <v>5.6000000000040018E-2</v>
      </c>
      <c r="AP82" s="53">
        <f t="shared" si="86"/>
        <v>1.0000000000016168E-3</v>
      </c>
      <c r="AQ82" s="31"/>
      <c r="AR82" s="18"/>
      <c r="AS82" s="39">
        <f t="shared" si="82"/>
        <v>9.8999999999932697E-2</v>
      </c>
      <c r="AT82" s="39">
        <f t="shared" si="83"/>
        <v>-6.999999999834472E-3</v>
      </c>
      <c r="AU82" s="39">
        <f>V82-T82</f>
        <v>3.6999999999807187E-2</v>
      </c>
      <c r="AV82" s="39">
        <f t="shared" si="84"/>
        <v>6.500000000005457E-2</v>
      </c>
      <c r="AW82" s="39">
        <f>Z82-X82</f>
        <v>-0.14599999999995816</v>
      </c>
      <c r="AX82" s="39">
        <f>(AC82-Z82)/2</f>
        <v>2.149999999994634E-2</v>
      </c>
      <c r="AY82" s="39">
        <f t="shared" si="77"/>
        <v>-3.5999999999830834E-2</v>
      </c>
      <c r="AZ82" s="38">
        <f t="shared" si="56"/>
        <v>6.8750000000079581E-3</v>
      </c>
    </row>
    <row r="83" spans="1:52" s="50" customFormat="1" x14ac:dyDescent="0.3">
      <c r="A83" s="44" t="s">
        <v>95</v>
      </c>
      <c r="B83" s="40">
        <v>2343309.162</v>
      </c>
      <c r="C83" s="40">
        <v>5956829.3480000002</v>
      </c>
      <c r="D83" s="40">
        <v>183.15799999999999</v>
      </c>
      <c r="E83" s="161" t="s">
        <v>47</v>
      </c>
      <c r="F83" s="81">
        <v>2013</v>
      </c>
      <c r="G83" s="45">
        <v>183.238</v>
      </c>
      <c r="H83" s="81">
        <v>2014</v>
      </c>
      <c r="I83" s="45">
        <v>183.47</v>
      </c>
      <c r="J83" s="81">
        <v>2022</v>
      </c>
      <c r="K83" s="65"/>
      <c r="L83" s="45"/>
      <c r="M83" s="45"/>
      <c r="N83" s="45"/>
      <c r="O83" s="45">
        <v>183.238</v>
      </c>
      <c r="P83" s="45">
        <v>183.47</v>
      </c>
      <c r="Q83" s="45">
        <v>183.31700000000001</v>
      </c>
      <c r="R83" s="45">
        <v>183.33799999999999</v>
      </c>
      <c r="S83" s="45">
        <v>183.27199999999999</v>
      </c>
      <c r="T83" s="45">
        <v>183.27600000000001</v>
      </c>
      <c r="U83" s="45"/>
      <c r="V83" s="37">
        <v>183.386</v>
      </c>
      <c r="W83" s="37">
        <v>183.31</v>
      </c>
      <c r="X83" s="37">
        <v>183.14400000000001</v>
      </c>
      <c r="Y83" s="37">
        <v>183.291</v>
      </c>
      <c r="Z83" s="37">
        <v>183.238</v>
      </c>
      <c r="AA83" s="45">
        <v>183.35400000000001</v>
      </c>
      <c r="AB83" s="45">
        <v>183.19200000000001</v>
      </c>
      <c r="AC83" s="45">
        <v>183.16800000000001</v>
      </c>
      <c r="AD83" s="90">
        <v>183.15799999999999</v>
      </c>
      <c r="AE83" s="90">
        <v>183.21700000000001</v>
      </c>
      <c r="AF83" s="65"/>
      <c r="AG83" s="45"/>
      <c r="AH83" s="51">
        <f t="shared" si="79"/>
        <v>7.9000000000007731E-2</v>
      </c>
      <c r="AI83" s="51">
        <f t="shared" si="80"/>
        <v>-4.5000000000015916E-2</v>
      </c>
      <c r="AJ83" s="51"/>
      <c r="AK83" s="39" t="s">
        <v>99</v>
      </c>
      <c r="AL83" s="39">
        <f>Y83-W83</f>
        <v>-1.9000000000005457E-2</v>
      </c>
      <c r="AM83" s="39">
        <f>AA83-Y83</f>
        <v>6.3000000000016598E-2</v>
      </c>
      <c r="AN83" s="51">
        <f>AB83-AA83</f>
        <v>-0.16200000000000614</v>
      </c>
      <c r="AO83" s="51">
        <f t="shared" si="85"/>
        <v>-3.4000000000020236E-2</v>
      </c>
      <c r="AP83" s="53">
        <f t="shared" si="86"/>
        <v>-8.8888888888902784E-3</v>
      </c>
      <c r="AQ83" s="52"/>
      <c r="AR83" s="53"/>
      <c r="AS83" s="51">
        <f t="shared" si="82"/>
        <v>-0.132000000000005</v>
      </c>
      <c r="AT83" s="51">
        <f t="shared" si="83"/>
        <v>-6.1999999999983402E-2</v>
      </c>
      <c r="AU83" s="39">
        <f>V83-T83</f>
        <v>0.10999999999998522</v>
      </c>
      <c r="AV83" s="39">
        <f t="shared" si="84"/>
        <v>-0.24199999999999022</v>
      </c>
      <c r="AW83" s="39">
        <f>Z83-X83</f>
        <v>9.3999999999994088E-2</v>
      </c>
      <c r="AX83" s="39">
        <f>(AC83-Z83)/2</f>
        <v>-3.4999999999996589E-2</v>
      </c>
      <c r="AY83" s="39">
        <f t="shared" si="77"/>
        <v>4.9000000000006594E-2</v>
      </c>
      <c r="AZ83" s="38">
        <f t="shared" si="56"/>
        <v>-3.1624999999998238E-2</v>
      </c>
    </row>
    <row r="84" spans="1:52" x14ac:dyDescent="0.3">
      <c r="D84" s="35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 x14ac:dyDescent="0.3">
      <c r="A85" s="7">
        <v>-0.15</v>
      </c>
      <c r="B85" s="13" t="s">
        <v>93</v>
      </c>
      <c r="E85"/>
      <c r="F85" s="35"/>
      <c r="G85" s="35"/>
      <c r="H85" s="35"/>
      <c r="I85" s="35"/>
      <c r="J85" s="35"/>
    </row>
    <row r="87" spans="1:52" x14ac:dyDescent="0.3">
      <c r="A87" s="11"/>
      <c r="B87" s="35" t="s">
        <v>105</v>
      </c>
      <c r="C87" s="35"/>
      <c r="D87" s="35"/>
      <c r="E87" s="35"/>
      <c r="F87" s="35"/>
      <c r="G87" s="35"/>
      <c r="H87" s="35"/>
      <c r="I87" s="35"/>
      <c r="J87" s="35"/>
      <c r="P87" s="6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 x14ac:dyDescent="0.3">
      <c r="B88" s="42" t="s">
        <v>87</v>
      </c>
      <c r="C88" s="35"/>
      <c r="D88" s="35"/>
      <c r="E88" s="35"/>
      <c r="F88" s="35"/>
      <c r="G88" s="35"/>
      <c r="H88" s="35"/>
      <c r="I88" s="35"/>
      <c r="J88" s="35"/>
    </row>
    <row r="89" spans="1:52" x14ac:dyDescent="0.3">
      <c r="B89" s="42" t="s">
        <v>109</v>
      </c>
      <c r="C89" s="35"/>
      <c r="D89" s="35"/>
      <c r="E89" s="35"/>
      <c r="F89" s="35"/>
      <c r="G89" s="35"/>
      <c r="H89" s="35"/>
      <c r="I89" s="35"/>
      <c r="J89" s="35"/>
    </row>
    <row r="90" spans="1:52" x14ac:dyDescent="0.3">
      <c r="B90" s="42" t="s">
        <v>88</v>
      </c>
      <c r="C90" s="35"/>
      <c r="D90" s="35"/>
      <c r="E90" s="35"/>
      <c r="F90" s="35"/>
      <c r="G90" s="35"/>
      <c r="H90" s="35"/>
      <c r="I90" s="35"/>
      <c r="J90" s="35"/>
    </row>
    <row r="91" spans="1:52" x14ac:dyDescent="0.3">
      <c r="B91" s="42" t="s">
        <v>89</v>
      </c>
      <c r="C91" s="35"/>
      <c r="D91" s="35"/>
      <c r="E91" s="35"/>
      <c r="F91" s="35"/>
      <c r="G91" s="35"/>
      <c r="H91" s="35"/>
      <c r="I91" s="35"/>
      <c r="J91" s="35"/>
    </row>
    <row r="92" spans="1:52" s="25" customFormat="1" x14ac:dyDescent="0.3">
      <c r="A92" s="2"/>
      <c r="B92" s="42" t="s">
        <v>90</v>
      </c>
      <c r="C92" s="35"/>
      <c r="D92" s="35"/>
      <c r="E92" s="35"/>
      <c r="F92" s="35"/>
      <c r="G92" s="35"/>
      <c r="H92" s="35"/>
      <c r="I92" s="35"/>
      <c r="J92" s="35"/>
      <c r="R92" s="34"/>
      <c r="S92" s="29"/>
      <c r="T92" s="35"/>
      <c r="U92" s="35"/>
      <c r="V92" s="35"/>
      <c r="W92" s="35"/>
      <c r="X92" s="35"/>
      <c r="Y92" s="35"/>
      <c r="Z92" s="35"/>
      <c r="AA92" s="50"/>
      <c r="AB92" s="50"/>
      <c r="AC92" s="50"/>
      <c r="AD92" s="50"/>
      <c r="AE92" s="50"/>
      <c r="AI92" s="35"/>
      <c r="AJ92" s="35"/>
      <c r="AK92" s="35"/>
      <c r="AM92" s="35"/>
      <c r="AN92" s="35"/>
      <c r="AO92" s="35"/>
      <c r="AP92" s="35"/>
      <c r="AQ92" s="30"/>
      <c r="AS92" s="29"/>
      <c r="AT92" s="35"/>
      <c r="AU92" s="30"/>
      <c r="AV92" s="35"/>
      <c r="AW92" s="35"/>
      <c r="AX92" s="35"/>
      <c r="AY92" s="35"/>
      <c r="AZ92" s="35"/>
    </row>
    <row r="93" spans="1:52" x14ac:dyDescent="0.3">
      <c r="B93" s="42" t="s">
        <v>99</v>
      </c>
      <c r="C93" s="35"/>
      <c r="D93" s="35"/>
      <c r="E93" s="35"/>
      <c r="F93" s="35"/>
      <c r="G93" s="35"/>
      <c r="H93" s="35"/>
      <c r="I93" s="35"/>
      <c r="J93" s="35"/>
    </row>
    <row r="94" spans="1:52" x14ac:dyDescent="0.3">
      <c r="B94" s="4"/>
      <c r="C94" s="35"/>
      <c r="D94" s="35"/>
    </row>
    <row r="95" spans="1:52" x14ac:dyDescent="0.3">
      <c r="A95" s="5"/>
      <c r="B95" s="42"/>
      <c r="C95" s="35"/>
      <c r="D95" s="35"/>
    </row>
    <row r="96" spans="1:52" x14ac:dyDescent="0.3">
      <c r="B96" s="35"/>
      <c r="C96" s="35"/>
      <c r="D96" s="35"/>
    </row>
    <row r="97" spans="1:4" x14ac:dyDescent="0.3">
      <c r="A97" s="54"/>
      <c r="B97" s="42" t="s">
        <v>106</v>
      </c>
      <c r="C97" s="35"/>
      <c r="D97" s="35"/>
    </row>
    <row r="99" spans="1:4" x14ac:dyDescent="0.3">
      <c r="A99" s="84"/>
      <c r="B99" s="1" t="s">
        <v>129</v>
      </c>
    </row>
  </sheetData>
  <mergeCells count="17">
    <mergeCell ref="B25:D25"/>
    <mergeCell ref="B33:D33"/>
    <mergeCell ref="B28:D28"/>
    <mergeCell ref="B18:D18"/>
    <mergeCell ref="A1:AR1"/>
    <mergeCell ref="A2:AR2"/>
    <mergeCell ref="B3:D3"/>
    <mergeCell ref="K3:Q3"/>
    <mergeCell ref="B4:C4"/>
    <mergeCell ref="AF3:AN3"/>
    <mergeCell ref="AQ3:AZ3"/>
    <mergeCell ref="F3:F5"/>
    <mergeCell ref="G3:G5"/>
    <mergeCell ref="H3:H5"/>
    <mergeCell ref="I3:I5"/>
    <mergeCell ref="K4:AE4"/>
    <mergeCell ref="J3:J5"/>
  </mergeCells>
  <conditionalFormatting sqref="AO1:AO3 AO84:AO1048576">
    <cfRule type="cellIs" dxfId="0" priority="2" operator="greaterThan">
      <formula>0.5</formula>
    </cfRule>
  </conditionalFormatting>
  <pageMargins left="0.7" right="0.45" top="0.5" bottom="0.5" header="0.3" footer="0.3"/>
  <pageSetup paperSize="128" scale="8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493"/>
  <sheetViews>
    <sheetView zoomScaleNormal="100" workbookViewId="0">
      <pane xSplit="5" ySplit="5" topLeftCell="AP40" activePane="bottomRight" state="frozen"/>
      <selection pane="topRight" activeCell="F1" sqref="F1"/>
      <selection pane="bottomLeft" activeCell="A6" sqref="A6"/>
      <selection pane="bottomRight" activeCell="F3" sqref="F1:J1048576"/>
    </sheetView>
  </sheetViews>
  <sheetFormatPr defaultColWidth="9.109375" defaultRowHeight="14.4" x14ac:dyDescent="0.3"/>
  <cols>
    <col min="1" max="1" width="9.109375" style="92"/>
    <col min="2" max="3" width="15.6640625" style="91" customWidth="1"/>
    <col min="4" max="4" width="9.44140625" style="91" customWidth="1"/>
    <col min="5" max="5" width="22.44140625" style="93" customWidth="1"/>
    <col min="6" max="6" width="10.6640625" style="93" hidden="1" customWidth="1"/>
    <col min="7" max="7" width="11.5546875" style="93" hidden="1" customWidth="1"/>
    <col min="8" max="8" width="14" style="93" hidden="1" customWidth="1"/>
    <col min="9" max="10" width="15" style="93" hidden="1" customWidth="1"/>
    <col min="11" max="12" width="10.6640625" style="91" customWidth="1"/>
    <col min="13" max="13" width="10.88671875" style="91" customWidth="1"/>
    <col min="14" max="51" width="10.6640625" style="91" customWidth="1"/>
    <col min="52" max="52" width="14" style="92" customWidth="1"/>
    <col min="53" max="16384" width="9.109375" style="91"/>
  </cols>
  <sheetData>
    <row r="1" spans="1:52" ht="18" x14ac:dyDescent="0.35">
      <c r="A1" s="144" t="s">
        <v>82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07"/>
      <c r="AT1" s="107"/>
      <c r="AU1" s="107"/>
      <c r="AV1" s="107"/>
      <c r="AW1" s="107"/>
      <c r="AX1" s="107"/>
      <c r="AY1" s="107"/>
      <c r="AZ1" s="108"/>
    </row>
    <row r="2" spans="1:52" ht="18" x14ac:dyDescent="0.35">
      <c r="A2" s="144" t="s">
        <v>81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07"/>
      <c r="AT2" s="107"/>
      <c r="AU2" s="107"/>
      <c r="AV2" s="107"/>
      <c r="AW2" s="107"/>
      <c r="AX2" s="107"/>
      <c r="AY2" s="107"/>
      <c r="AZ2" s="108"/>
    </row>
    <row r="3" spans="1:52" ht="18.75" customHeight="1" x14ac:dyDescent="0.3">
      <c r="A3" s="109"/>
      <c r="B3" s="148" t="s">
        <v>130</v>
      </c>
      <c r="C3" s="149"/>
      <c r="D3" s="150"/>
      <c r="E3" s="110"/>
      <c r="F3" s="153" t="s">
        <v>124</v>
      </c>
      <c r="G3" s="153" t="s">
        <v>125</v>
      </c>
      <c r="H3" s="153" t="s">
        <v>126</v>
      </c>
      <c r="I3" s="153" t="s">
        <v>127</v>
      </c>
      <c r="J3" s="153" t="s">
        <v>133</v>
      </c>
      <c r="K3" s="145"/>
      <c r="L3" s="145"/>
      <c r="M3" s="145"/>
      <c r="N3" s="145"/>
      <c r="O3" s="145"/>
      <c r="P3" s="145"/>
      <c r="Q3" s="145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51" t="s">
        <v>86</v>
      </c>
      <c r="AG3" s="152"/>
      <c r="AH3" s="152"/>
      <c r="AI3" s="152"/>
      <c r="AJ3" s="152"/>
      <c r="AK3" s="152"/>
      <c r="AL3" s="152"/>
      <c r="AM3" s="152"/>
      <c r="AN3" s="152"/>
      <c r="AO3" s="112"/>
      <c r="AP3" s="112"/>
      <c r="AQ3" s="151" t="s">
        <v>92</v>
      </c>
      <c r="AR3" s="152"/>
      <c r="AS3" s="152"/>
      <c r="AT3" s="152"/>
      <c r="AU3" s="152"/>
      <c r="AV3" s="152"/>
      <c r="AW3" s="152"/>
      <c r="AX3" s="152"/>
      <c r="AY3" s="152"/>
      <c r="AZ3" s="154"/>
    </row>
    <row r="4" spans="1:52" ht="20.25" customHeight="1" x14ac:dyDescent="0.3">
      <c r="A4" s="113"/>
      <c r="B4" s="146" t="s">
        <v>84</v>
      </c>
      <c r="C4" s="147"/>
      <c r="D4" s="114" t="s">
        <v>83</v>
      </c>
      <c r="E4" s="110"/>
      <c r="F4" s="153"/>
      <c r="G4" s="153"/>
      <c r="H4" s="153"/>
      <c r="I4" s="153"/>
      <c r="J4" s="153"/>
      <c r="K4" s="155" t="s">
        <v>85</v>
      </c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7"/>
      <c r="AF4" s="115">
        <v>40878</v>
      </c>
      <c r="AG4" s="116">
        <v>41244</v>
      </c>
      <c r="AH4" s="117">
        <v>41609</v>
      </c>
      <c r="AI4" s="117">
        <v>41974</v>
      </c>
      <c r="AJ4" s="117">
        <v>42339</v>
      </c>
      <c r="AK4" s="117">
        <v>42705</v>
      </c>
      <c r="AL4" s="117">
        <v>43070</v>
      </c>
      <c r="AM4" s="117">
        <v>43435</v>
      </c>
      <c r="AN4" s="117">
        <v>43800</v>
      </c>
      <c r="AO4" s="117">
        <v>44166</v>
      </c>
      <c r="AP4" s="117">
        <v>40878</v>
      </c>
      <c r="AQ4" s="118">
        <v>41091</v>
      </c>
      <c r="AR4" s="118">
        <v>41456</v>
      </c>
      <c r="AS4" s="118">
        <v>41821</v>
      </c>
      <c r="AT4" s="118">
        <v>42186</v>
      </c>
      <c r="AU4" s="118">
        <v>42552</v>
      </c>
      <c r="AV4" s="118">
        <v>42917</v>
      </c>
      <c r="AW4" s="118">
        <v>43299</v>
      </c>
      <c r="AX4" s="118">
        <v>43647</v>
      </c>
      <c r="AY4" s="120">
        <v>44378</v>
      </c>
      <c r="AZ4" s="118">
        <v>41091</v>
      </c>
    </row>
    <row r="5" spans="1:52" x14ac:dyDescent="0.3">
      <c r="A5" s="119" t="s">
        <v>54</v>
      </c>
      <c r="B5" s="98" t="s">
        <v>55</v>
      </c>
      <c r="C5" s="98" t="s">
        <v>56</v>
      </c>
      <c r="D5" s="98" t="s">
        <v>57</v>
      </c>
      <c r="E5" s="97" t="s">
        <v>58</v>
      </c>
      <c r="F5" s="153"/>
      <c r="G5" s="153"/>
      <c r="H5" s="153"/>
      <c r="I5" s="153"/>
      <c r="J5" s="153"/>
      <c r="K5" s="120">
        <v>40878</v>
      </c>
      <c r="L5" s="120">
        <v>41091</v>
      </c>
      <c r="M5" s="120">
        <v>41244</v>
      </c>
      <c r="N5" s="120">
        <v>41456</v>
      </c>
      <c r="O5" s="120">
        <v>41609</v>
      </c>
      <c r="P5" s="120">
        <v>41821</v>
      </c>
      <c r="Q5" s="120">
        <v>41974</v>
      </c>
      <c r="R5" s="120">
        <v>42186</v>
      </c>
      <c r="S5" s="120">
        <v>42339</v>
      </c>
      <c r="T5" s="120">
        <v>42567</v>
      </c>
      <c r="U5" s="120">
        <v>42705</v>
      </c>
      <c r="V5" s="120">
        <v>42917</v>
      </c>
      <c r="W5" s="120">
        <v>43070</v>
      </c>
      <c r="X5" s="120">
        <v>43282</v>
      </c>
      <c r="Y5" s="120">
        <v>43435</v>
      </c>
      <c r="Z5" s="120">
        <v>43647</v>
      </c>
      <c r="AA5" s="121">
        <v>43800</v>
      </c>
      <c r="AB5" s="121">
        <v>44166</v>
      </c>
      <c r="AC5" s="121">
        <v>44398</v>
      </c>
      <c r="AD5" s="121">
        <v>44531</v>
      </c>
      <c r="AE5" s="121">
        <v>44743</v>
      </c>
      <c r="AF5" s="120">
        <v>41244</v>
      </c>
      <c r="AG5" s="120">
        <v>41609</v>
      </c>
      <c r="AH5" s="120">
        <v>41974</v>
      </c>
      <c r="AI5" s="120">
        <v>42339</v>
      </c>
      <c r="AJ5" s="120">
        <v>42705</v>
      </c>
      <c r="AK5" s="120">
        <v>43070</v>
      </c>
      <c r="AL5" s="120">
        <v>43435</v>
      </c>
      <c r="AM5" s="120">
        <v>43800</v>
      </c>
      <c r="AN5" s="120">
        <v>44166</v>
      </c>
      <c r="AO5" s="120">
        <v>44531</v>
      </c>
      <c r="AP5" s="120">
        <v>44531</v>
      </c>
      <c r="AQ5" s="120">
        <v>41456</v>
      </c>
      <c r="AR5" s="120">
        <v>41821</v>
      </c>
      <c r="AS5" s="120">
        <v>42186</v>
      </c>
      <c r="AT5" s="120">
        <v>42552</v>
      </c>
      <c r="AU5" s="120">
        <v>42917</v>
      </c>
      <c r="AV5" s="120">
        <v>43282</v>
      </c>
      <c r="AW5" s="120">
        <v>43665</v>
      </c>
      <c r="AX5" s="120">
        <v>44378</v>
      </c>
      <c r="AY5" s="120">
        <v>44743</v>
      </c>
      <c r="AZ5" s="120">
        <v>44743</v>
      </c>
    </row>
    <row r="6" spans="1:52" x14ac:dyDescent="0.3">
      <c r="A6" s="97">
        <v>29</v>
      </c>
      <c r="B6" s="98">
        <v>2255715.236</v>
      </c>
      <c r="C6" s="98">
        <v>6232765.3300000001</v>
      </c>
      <c r="D6" s="98">
        <v>276.61799999999999</v>
      </c>
      <c r="E6" s="99" t="s">
        <v>0</v>
      </c>
      <c r="F6" s="100">
        <v>2012</v>
      </c>
      <c r="G6" s="101">
        <v>279.26499999999999</v>
      </c>
      <c r="H6" s="100">
        <v>2012</v>
      </c>
      <c r="I6" s="101">
        <v>279.42200000000003</v>
      </c>
      <c r="J6" s="100">
        <v>2021</v>
      </c>
      <c r="K6" s="101"/>
      <c r="L6" s="101">
        <v>279.42200000000003</v>
      </c>
      <c r="M6" s="101">
        <v>279.26499999999999</v>
      </c>
      <c r="N6" s="101">
        <v>279.24599999999998</v>
      </c>
      <c r="O6" s="101">
        <v>278.84500000000003</v>
      </c>
      <c r="P6" s="101">
        <v>278.726</v>
      </c>
      <c r="Q6" s="101">
        <v>278.589</v>
      </c>
      <c r="R6" s="101">
        <v>278.48599999999999</v>
      </c>
      <c r="S6" s="101">
        <v>278.238</v>
      </c>
      <c r="T6" s="101">
        <v>278.11799999999999</v>
      </c>
      <c r="U6" s="101">
        <v>277.93599999999998</v>
      </c>
      <c r="V6" s="101">
        <v>277.791</v>
      </c>
      <c r="W6" s="101">
        <v>277.73</v>
      </c>
      <c r="X6" s="98">
        <v>277.76799999999997</v>
      </c>
      <c r="Y6" s="98">
        <v>277.36200000000002</v>
      </c>
      <c r="Z6" s="98">
        <v>277.33999999999997</v>
      </c>
      <c r="AA6" s="98">
        <v>277.20999999999998</v>
      </c>
      <c r="AB6" s="98">
        <v>277.02800000000002</v>
      </c>
      <c r="AC6" s="98">
        <v>276.92099999999999</v>
      </c>
      <c r="AD6" s="98">
        <v>276.61799999999999</v>
      </c>
      <c r="AE6" s="98">
        <v>276.58499999999998</v>
      </c>
      <c r="AF6" s="103"/>
      <c r="AG6" s="98">
        <f>O6-M6</f>
        <v>-0.41999999999995907</v>
      </c>
      <c r="AH6" s="104">
        <f>Q6-O6</f>
        <v>-0.25600000000002865</v>
      </c>
      <c r="AI6" s="104">
        <f>S6-Q6</f>
        <v>-0.35099999999999909</v>
      </c>
      <c r="AJ6" s="104">
        <f>U6-S6</f>
        <v>-0.30200000000002092</v>
      </c>
      <c r="AK6" s="104">
        <f>W6-U6</f>
        <v>-0.20599999999996044</v>
      </c>
      <c r="AL6" s="104">
        <f t="shared" ref="AL6:AL24" si="0">Y6-W6</f>
        <v>-0.367999999999995</v>
      </c>
      <c r="AM6" s="104">
        <f>AA6-Y6</f>
        <v>-0.15200000000004366</v>
      </c>
      <c r="AN6" s="104">
        <f>AB6-AA6</f>
        <v>-0.18199999999995953</v>
      </c>
      <c r="AO6" s="104">
        <f>(AD6-AB6)</f>
        <v>-0.41000000000002501</v>
      </c>
      <c r="AP6" s="103">
        <f t="shared" ref="AP6:AP69" si="1">(AD6-G6)/(J6-F6)</f>
        <v>-0.29411111111111016</v>
      </c>
      <c r="AQ6" s="105">
        <f>N6-L6</f>
        <v>-0.17600000000004457</v>
      </c>
      <c r="AR6" s="104">
        <f>P6-N6</f>
        <v>-0.51999999999998181</v>
      </c>
      <c r="AS6" s="104">
        <f>R6-P6</f>
        <v>-0.24000000000000909</v>
      </c>
      <c r="AT6" s="104">
        <f>T6-R6</f>
        <v>-0.367999999999995</v>
      </c>
      <c r="AU6" s="104">
        <f>V6-T6</f>
        <v>-0.32699999999999818</v>
      </c>
      <c r="AV6" s="104">
        <f t="shared" ref="AV6:AV24" si="2">X6-V6</f>
        <v>-2.3000000000024556E-2</v>
      </c>
      <c r="AW6" s="104">
        <f t="shared" ref="AW6:AW24" si="3">Z6-X6</f>
        <v>-0.42799999999999727</v>
      </c>
      <c r="AX6" s="104">
        <f>(AC6-Z6)/2</f>
        <v>-0.20949999999999136</v>
      </c>
      <c r="AY6" s="104">
        <f>AE6-AC6</f>
        <v>-0.33600000000001273</v>
      </c>
      <c r="AZ6" s="104">
        <f>(AE6-$I6)/(2022-$H6)</f>
        <v>-0.28370000000000462</v>
      </c>
    </row>
    <row r="7" spans="1:52" x14ac:dyDescent="0.3">
      <c r="A7" s="97">
        <v>62</v>
      </c>
      <c r="B7" s="98">
        <v>2138252.4989999998</v>
      </c>
      <c r="C7" s="98">
        <v>6339533.1069999998</v>
      </c>
      <c r="D7" s="98">
        <v>288.68700000000001</v>
      </c>
      <c r="E7" s="99" t="s">
        <v>1</v>
      </c>
      <c r="F7" s="100">
        <v>2012</v>
      </c>
      <c r="G7" s="98">
        <v>288.97800000000001</v>
      </c>
      <c r="H7" s="100">
        <v>2012</v>
      </c>
      <c r="I7" s="98">
        <v>289.17399999999998</v>
      </c>
      <c r="J7" s="100">
        <v>2021</v>
      </c>
      <c r="K7" s="98"/>
      <c r="L7" s="98">
        <v>289.17399999999998</v>
      </c>
      <c r="M7" s="98">
        <v>288.97800000000001</v>
      </c>
      <c r="N7" s="98">
        <v>289.06900000000002</v>
      </c>
      <c r="O7" s="98">
        <v>288.74599999999998</v>
      </c>
      <c r="P7" s="98">
        <v>288.87200000000001</v>
      </c>
      <c r="Q7" s="98">
        <v>288.82400000000001</v>
      </c>
      <c r="R7" s="101">
        <v>289.02800000000002</v>
      </c>
      <c r="S7" s="101">
        <v>288.904</v>
      </c>
      <c r="T7" s="101">
        <v>288.93099999999998</v>
      </c>
      <c r="U7" s="98">
        <v>288.80500000000001</v>
      </c>
      <c r="V7" s="98">
        <v>288.88299999999998</v>
      </c>
      <c r="W7" s="98">
        <v>288.87</v>
      </c>
      <c r="X7" s="98">
        <v>289.02600000000001</v>
      </c>
      <c r="Y7" s="98">
        <v>288.803</v>
      </c>
      <c r="Z7" s="98">
        <v>288.93700000000001</v>
      </c>
      <c r="AA7" s="98">
        <v>288.86799999999999</v>
      </c>
      <c r="AB7" s="98">
        <v>288.851</v>
      </c>
      <c r="AC7" s="98">
        <v>288.99400000000003</v>
      </c>
      <c r="AD7" s="98">
        <v>288.68700000000001</v>
      </c>
      <c r="AE7" s="98">
        <v>288.80799999999999</v>
      </c>
      <c r="AF7" s="103"/>
      <c r="AG7" s="98">
        <f>O7-M7</f>
        <v>-0.23200000000002774</v>
      </c>
      <c r="AH7" s="104">
        <f>Q7-O7</f>
        <v>7.8000000000031378E-2</v>
      </c>
      <c r="AI7" s="104">
        <f>S7-Q7</f>
        <v>7.9999999999984084E-2</v>
      </c>
      <c r="AJ7" s="104">
        <f>U7-S7</f>
        <v>-9.8999999999989541E-2</v>
      </c>
      <c r="AK7" s="104">
        <f>W7-U7</f>
        <v>6.4999999999997726E-2</v>
      </c>
      <c r="AL7" s="104">
        <f t="shared" si="0"/>
        <v>-6.7000000000007276E-2</v>
      </c>
      <c r="AM7" s="104">
        <f>AA7-Y7</f>
        <v>6.4999999999997726E-2</v>
      </c>
      <c r="AN7" s="104">
        <f>AB7-AA7</f>
        <v>-1.6999999999995907E-2</v>
      </c>
      <c r="AO7" s="104">
        <f t="shared" ref="AO7:AO70" si="4">(AD7-AB7)</f>
        <v>-0.16399999999998727</v>
      </c>
      <c r="AP7" s="103">
        <f t="shared" si="1"/>
        <v>-3.2333333333332978E-2</v>
      </c>
      <c r="AQ7" s="105">
        <f>N7-L7</f>
        <v>-0.10499999999996135</v>
      </c>
      <c r="AR7" s="104">
        <f>P7-N7</f>
        <v>-0.19700000000000273</v>
      </c>
      <c r="AS7" s="104">
        <f>R7-P7</f>
        <v>0.15600000000000591</v>
      </c>
      <c r="AT7" s="104">
        <f>T7-R7</f>
        <v>-9.7000000000036835E-2</v>
      </c>
      <c r="AU7" s="104">
        <f>V7-T7</f>
        <v>-4.8000000000001819E-2</v>
      </c>
      <c r="AV7" s="104">
        <f t="shared" si="2"/>
        <v>0.1430000000000291</v>
      </c>
      <c r="AW7" s="104">
        <f t="shared" si="3"/>
        <v>-8.8999999999998636E-2</v>
      </c>
      <c r="AX7" s="104">
        <f t="shared" ref="AX7:AX17" si="5">(AC7-Z7)/2</f>
        <v>2.8500000000008185E-2</v>
      </c>
      <c r="AY7" s="104">
        <f t="shared" ref="AY7:AY70" si="6">AE7-AC7</f>
        <v>-0.18600000000003547</v>
      </c>
      <c r="AZ7" s="104">
        <f t="shared" ref="AZ7:AZ70" si="7">(AE7-$I7)/(2022-$H7)</f>
        <v>-3.6599999999998543E-2</v>
      </c>
    </row>
    <row r="8" spans="1:52" x14ac:dyDescent="0.3">
      <c r="A8" s="97">
        <v>63</v>
      </c>
      <c r="B8" s="98">
        <v>2068328.3319999999</v>
      </c>
      <c r="C8" s="98">
        <v>6163767.9110000003</v>
      </c>
      <c r="D8" s="98">
        <v>328.13400000000001</v>
      </c>
      <c r="E8" s="99" t="s">
        <v>48</v>
      </c>
      <c r="F8" s="100">
        <v>2012</v>
      </c>
      <c r="G8" s="98">
        <v>330.06200000000001</v>
      </c>
      <c r="H8" s="100">
        <v>2012</v>
      </c>
      <c r="I8" s="98">
        <v>330.108</v>
      </c>
      <c r="J8" s="100">
        <v>2021</v>
      </c>
      <c r="K8" s="98"/>
      <c r="L8" s="98">
        <v>330.108</v>
      </c>
      <c r="M8" s="98">
        <v>330.06200000000001</v>
      </c>
      <c r="N8" s="98">
        <v>329.892</v>
      </c>
      <c r="O8" s="98">
        <v>329.53800000000001</v>
      </c>
      <c r="P8" s="98">
        <v>329.02499999999998</v>
      </c>
      <c r="Q8" s="98">
        <v>329.14800000000002</v>
      </c>
      <c r="R8" s="101">
        <v>328.9</v>
      </c>
      <c r="S8" s="101">
        <v>328.80500000000001</v>
      </c>
      <c r="T8" s="98">
        <v>328.74900000000002</v>
      </c>
      <c r="U8" s="98">
        <v>328.68</v>
      </c>
      <c r="V8" s="98">
        <v>328.92599999999999</v>
      </c>
      <c r="W8" s="98">
        <v>329.06</v>
      </c>
      <c r="X8" s="98">
        <v>329.02</v>
      </c>
      <c r="Y8" s="98">
        <v>328.92700000000002</v>
      </c>
      <c r="Z8" s="98">
        <v>329.03399999999999</v>
      </c>
      <c r="AA8" s="98">
        <v>329.03699999999998</v>
      </c>
      <c r="AB8" s="98">
        <v>328.54399999999998</v>
      </c>
      <c r="AC8" s="98">
        <v>328.26400000000001</v>
      </c>
      <c r="AD8" s="98">
        <v>328.13400000000001</v>
      </c>
      <c r="AE8" s="98">
        <v>327.82100000000003</v>
      </c>
      <c r="AF8" s="103"/>
      <c r="AG8" s="98">
        <f>O8-M8</f>
        <v>-0.52400000000000091</v>
      </c>
      <c r="AH8" s="104">
        <f>Q8-O8</f>
        <v>-0.38999999999998636</v>
      </c>
      <c r="AI8" s="104">
        <f>S8-Q8</f>
        <v>-0.34300000000001774</v>
      </c>
      <c r="AJ8" s="104">
        <f>U8-S8</f>
        <v>-0.125</v>
      </c>
      <c r="AK8" s="104">
        <f>W8-U8</f>
        <v>0.37999999999999545</v>
      </c>
      <c r="AL8" s="104">
        <f t="shared" si="0"/>
        <v>-0.13299999999998136</v>
      </c>
      <c r="AM8" s="104">
        <f>AA8-Y8</f>
        <v>0.1099999999999568</v>
      </c>
      <c r="AN8" s="104">
        <f>AB8-AA8</f>
        <v>-0.492999999999995</v>
      </c>
      <c r="AO8" s="104">
        <f t="shared" si="4"/>
        <v>-0.40999999999996817</v>
      </c>
      <c r="AP8" s="103">
        <f t="shared" si="1"/>
        <v>-0.21422222222222193</v>
      </c>
      <c r="AQ8" s="105">
        <f>N8-L8</f>
        <v>-0.21600000000000819</v>
      </c>
      <c r="AR8" s="104">
        <f>P8-N8</f>
        <v>-0.86700000000001864</v>
      </c>
      <c r="AS8" s="104">
        <f>R8-P8</f>
        <v>-0.125</v>
      </c>
      <c r="AT8" s="104">
        <f>T8-R8</f>
        <v>-0.15099999999995362</v>
      </c>
      <c r="AU8" s="104">
        <f>V8-T8</f>
        <v>0.17699999999996407</v>
      </c>
      <c r="AV8" s="104">
        <f t="shared" si="2"/>
        <v>9.3999999999994088E-2</v>
      </c>
      <c r="AW8" s="104">
        <f t="shared" si="3"/>
        <v>1.4000000000010004E-2</v>
      </c>
      <c r="AX8" s="104">
        <f t="shared" si="5"/>
        <v>-0.38499999999999091</v>
      </c>
      <c r="AY8" s="104">
        <f t="shared" si="6"/>
        <v>-0.44299999999998363</v>
      </c>
      <c r="AZ8" s="104">
        <f t="shared" si="7"/>
        <v>-0.22869999999999777</v>
      </c>
    </row>
    <row r="9" spans="1:52" x14ac:dyDescent="0.3">
      <c r="A9" s="97">
        <v>101</v>
      </c>
      <c r="B9" s="98">
        <v>2213141.156</v>
      </c>
      <c r="C9" s="98">
        <v>6133281.4380000001</v>
      </c>
      <c r="D9" s="98">
        <v>139.78800000000001</v>
      </c>
      <c r="E9" s="99" t="s">
        <v>60</v>
      </c>
      <c r="F9" s="100">
        <v>2011</v>
      </c>
      <c r="G9" s="98">
        <v>141.89400000000001</v>
      </c>
      <c r="H9" s="100">
        <v>2012</v>
      </c>
      <c r="I9" s="98">
        <v>141.75299999999999</v>
      </c>
      <c r="J9" s="100">
        <v>2021</v>
      </c>
      <c r="K9" s="98">
        <v>141.89400000000001</v>
      </c>
      <c r="L9" s="98">
        <v>141.75299999999999</v>
      </c>
      <c r="M9" s="98">
        <v>141.78399999999999</v>
      </c>
      <c r="N9" s="98">
        <v>141.66800000000001</v>
      </c>
      <c r="O9" s="98">
        <v>141.39400000000001</v>
      </c>
      <c r="P9" s="98">
        <v>141.35400000000001</v>
      </c>
      <c r="Q9" s="98">
        <v>141.36799999999999</v>
      </c>
      <c r="R9" s="101">
        <v>141.19399999999999</v>
      </c>
      <c r="S9" s="98">
        <v>140.999</v>
      </c>
      <c r="T9" s="101">
        <v>140.97</v>
      </c>
      <c r="U9" s="98"/>
      <c r="V9" s="98">
        <v>140.6</v>
      </c>
      <c r="W9" s="98">
        <v>140.6</v>
      </c>
      <c r="X9" s="98">
        <v>140.589</v>
      </c>
      <c r="Y9" s="98">
        <v>140.38300000000001</v>
      </c>
      <c r="Z9" s="98">
        <v>140.33600000000001</v>
      </c>
      <c r="AA9" s="98"/>
      <c r="AB9" s="98">
        <v>140.06700000000001</v>
      </c>
      <c r="AC9" s="98">
        <v>139.953</v>
      </c>
      <c r="AD9" s="98">
        <v>139.78800000000001</v>
      </c>
      <c r="AE9" s="98">
        <v>139.666</v>
      </c>
      <c r="AF9" s="98">
        <f>M9-K9</f>
        <v>-0.11000000000001364</v>
      </c>
      <c r="AG9" s="98">
        <f>O9-M9</f>
        <v>-0.38999999999998636</v>
      </c>
      <c r="AH9" s="104">
        <f>Q9-O9</f>
        <v>-2.6000000000010459E-2</v>
      </c>
      <c r="AI9" s="104">
        <f>S9-Q9</f>
        <v>-0.36899999999999977</v>
      </c>
      <c r="AJ9" s="104"/>
      <c r="AK9" s="104" t="s">
        <v>99</v>
      </c>
      <c r="AL9" s="104">
        <f t="shared" si="0"/>
        <v>-0.21699999999998454</v>
      </c>
      <c r="AM9" s="104"/>
      <c r="AN9" s="104"/>
      <c r="AO9" s="104">
        <f t="shared" si="4"/>
        <v>-0.27899999999999636</v>
      </c>
      <c r="AP9" s="104">
        <f t="shared" si="1"/>
        <v>-0.21059999999999945</v>
      </c>
      <c r="AQ9" s="105">
        <f>N9-L9</f>
        <v>-8.4999999999979536E-2</v>
      </c>
      <c r="AR9" s="104">
        <f>P9-N9</f>
        <v>-0.31399999999999295</v>
      </c>
      <c r="AS9" s="104">
        <f>R9-P9</f>
        <v>-0.16000000000002501</v>
      </c>
      <c r="AT9" s="104">
        <f>T9-R9</f>
        <v>-0.22399999999998954</v>
      </c>
      <c r="AU9" s="104">
        <f>V9-T9</f>
        <v>-0.37000000000000455</v>
      </c>
      <c r="AV9" s="104">
        <f t="shared" si="2"/>
        <v>-1.099999999999568E-2</v>
      </c>
      <c r="AW9" s="104">
        <f t="shared" si="3"/>
        <v>-0.2529999999999859</v>
      </c>
      <c r="AX9" s="104">
        <f t="shared" si="5"/>
        <v>-0.19150000000000489</v>
      </c>
      <c r="AY9" s="104">
        <f t="shared" si="6"/>
        <v>-0.28700000000000614</v>
      </c>
      <c r="AZ9" s="104">
        <f t="shared" si="7"/>
        <v>-0.20869999999999891</v>
      </c>
    </row>
    <row r="10" spans="1:52" x14ac:dyDescent="0.3">
      <c r="A10" s="97">
        <v>104</v>
      </c>
      <c r="B10" s="98">
        <v>2167435.8939999999</v>
      </c>
      <c r="C10" s="98">
        <v>6185519.9850000003</v>
      </c>
      <c r="D10" s="98">
        <v>179.024</v>
      </c>
      <c r="E10" s="99" t="s">
        <v>96</v>
      </c>
      <c r="F10" s="100">
        <v>2011</v>
      </c>
      <c r="G10" s="98">
        <v>180.72399999999999</v>
      </c>
      <c r="H10" s="100">
        <v>2017</v>
      </c>
      <c r="I10" s="98">
        <v>179.63900000000001</v>
      </c>
      <c r="J10" s="100">
        <v>2021</v>
      </c>
      <c r="K10" s="98">
        <v>180.72399999999999</v>
      </c>
      <c r="L10" s="98"/>
      <c r="M10" s="98"/>
      <c r="N10" s="98"/>
      <c r="O10" s="98"/>
      <c r="P10" s="98"/>
      <c r="Q10" s="98"/>
      <c r="R10" s="101"/>
      <c r="S10" s="98"/>
      <c r="T10" s="101"/>
      <c r="U10" s="98"/>
      <c r="V10" s="98">
        <v>179.63900000000001</v>
      </c>
      <c r="W10" s="98">
        <v>179.66</v>
      </c>
      <c r="X10" s="98">
        <v>179.63300000000001</v>
      </c>
      <c r="Y10" s="98">
        <v>179.50700000000001</v>
      </c>
      <c r="Z10" s="98">
        <v>179.43100000000001</v>
      </c>
      <c r="AA10" s="98">
        <v>179.43100000000001</v>
      </c>
      <c r="AB10" s="98">
        <v>179.39500000000001</v>
      </c>
      <c r="AC10" s="98">
        <v>179.22200000000001</v>
      </c>
      <c r="AD10" s="98">
        <v>179.024</v>
      </c>
      <c r="AE10" s="98">
        <v>178.928</v>
      </c>
      <c r="AF10" s="98"/>
      <c r="AG10" s="98"/>
      <c r="AH10" s="104"/>
      <c r="AI10" s="104"/>
      <c r="AJ10" s="104"/>
      <c r="AK10" s="104" t="s">
        <v>99</v>
      </c>
      <c r="AL10" s="104">
        <f t="shared" si="0"/>
        <v>-0.15299999999999159</v>
      </c>
      <c r="AM10" s="104">
        <f t="shared" ref="AM10:AM17" si="8">AA10-Y10</f>
        <v>-7.5999999999993406E-2</v>
      </c>
      <c r="AN10" s="104">
        <f t="shared" ref="AN10:AN17" si="9">AB10-AA10</f>
        <v>-3.6000000000001364E-2</v>
      </c>
      <c r="AO10" s="104">
        <f t="shared" si="4"/>
        <v>-0.37100000000000932</v>
      </c>
      <c r="AP10" s="104">
        <f t="shared" si="1"/>
        <v>-0.16999999999999887</v>
      </c>
      <c r="AQ10" s="105"/>
      <c r="AR10" s="104"/>
      <c r="AS10" s="104"/>
      <c r="AT10" s="104"/>
      <c r="AU10" s="104"/>
      <c r="AV10" s="104">
        <f t="shared" si="2"/>
        <v>-6.0000000000002274E-3</v>
      </c>
      <c r="AW10" s="104">
        <f t="shared" si="3"/>
        <v>-0.20199999999999818</v>
      </c>
      <c r="AX10" s="104">
        <f t="shared" si="5"/>
        <v>-0.10450000000000159</v>
      </c>
      <c r="AY10" s="104">
        <f t="shared" si="6"/>
        <v>-0.29400000000001114</v>
      </c>
      <c r="AZ10" s="104">
        <f t="shared" si="7"/>
        <v>-0.14220000000000255</v>
      </c>
    </row>
    <row r="11" spans="1:52" x14ac:dyDescent="0.3">
      <c r="A11" s="97">
        <v>108</v>
      </c>
      <c r="B11" s="98">
        <v>2342536.7799999998</v>
      </c>
      <c r="C11" s="98">
        <v>6022775.6960000005</v>
      </c>
      <c r="D11" s="98">
        <v>78.272000000000006</v>
      </c>
      <c r="E11" s="99" t="s">
        <v>2</v>
      </c>
      <c r="F11" s="100">
        <v>2011</v>
      </c>
      <c r="G11" s="98">
        <v>79.126000000000005</v>
      </c>
      <c r="H11" s="100">
        <v>2014</v>
      </c>
      <c r="I11" s="98">
        <v>79.093000000000004</v>
      </c>
      <c r="J11" s="100">
        <v>2021</v>
      </c>
      <c r="K11" s="98">
        <v>79.126000000000005</v>
      </c>
      <c r="L11" s="98"/>
      <c r="M11" s="98"/>
      <c r="N11" s="98"/>
      <c r="O11" s="98">
        <v>78.941999999999993</v>
      </c>
      <c r="P11" s="98">
        <v>79.093000000000004</v>
      </c>
      <c r="Q11" s="98">
        <v>78.95</v>
      </c>
      <c r="R11" s="101">
        <v>78.831999999999994</v>
      </c>
      <c r="S11" s="98">
        <v>78.739999999999995</v>
      </c>
      <c r="T11" s="98">
        <v>78.641000000000005</v>
      </c>
      <c r="U11" s="98">
        <v>78.649000000000001</v>
      </c>
      <c r="V11" s="98">
        <v>78.638000000000005</v>
      </c>
      <c r="W11" s="98">
        <v>78.650000000000006</v>
      </c>
      <c r="X11" s="98">
        <v>78.450999999999993</v>
      </c>
      <c r="Y11" s="98">
        <v>78.549000000000007</v>
      </c>
      <c r="Z11" s="98">
        <v>78.614000000000004</v>
      </c>
      <c r="AA11" s="98">
        <v>78.558999999999997</v>
      </c>
      <c r="AB11" s="98">
        <v>78.405000000000001</v>
      </c>
      <c r="AC11" s="98">
        <v>78.433000000000007</v>
      </c>
      <c r="AD11" s="98">
        <v>78.272000000000006</v>
      </c>
      <c r="AE11" s="98">
        <v>78.269000000000005</v>
      </c>
      <c r="AF11" s="98"/>
      <c r="AG11" s="98"/>
      <c r="AH11" s="104">
        <f t="shared" ref="AH11:AH25" si="10">Q11-O11</f>
        <v>8.0000000000097771E-3</v>
      </c>
      <c r="AI11" s="104">
        <f t="shared" ref="AI11:AI25" si="11">S11-Q11</f>
        <v>-0.21000000000000796</v>
      </c>
      <c r="AJ11" s="104">
        <f t="shared" ref="AJ11:AJ25" si="12">U11-S11</f>
        <v>-9.0999999999993975E-2</v>
      </c>
      <c r="AK11" s="104">
        <f t="shared" ref="AK11:AK25" si="13">W11-U11</f>
        <v>1.0000000000047748E-3</v>
      </c>
      <c r="AL11" s="104">
        <f t="shared" si="0"/>
        <v>-0.10099999999999909</v>
      </c>
      <c r="AM11" s="104">
        <f t="shared" si="8"/>
        <v>9.9999999999909051E-3</v>
      </c>
      <c r="AN11" s="104">
        <f t="shared" si="9"/>
        <v>-0.15399999999999636</v>
      </c>
      <c r="AO11" s="104">
        <f t="shared" si="4"/>
        <v>-0.13299999999999557</v>
      </c>
      <c r="AP11" s="104">
        <f t="shared" si="1"/>
        <v>-8.539999999999992E-2</v>
      </c>
      <c r="AQ11" s="105"/>
      <c r="AR11" s="103"/>
      <c r="AS11" s="104">
        <f t="shared" ref="AS11:AS25" si="14">R11-P11</f>
        <v>-0.26100000000000989</v>
      </c>
      <c r="AT11" s="104">
        <f t="shared" ref="AT11:AT25" si="15">T11-R11</f>
        <v>-0.19099999999998829</v>
      </c>
      <c r="AU11" s="104">
        <f t="shared" ref="AU11:AU25" si="16">V11-T11</f>
        <v>-3.0000000000001137E-3</v>
      </c>
      <c r="AV11" s="104">
        <f t="shared" si="2"/>
        <v>-0.18700000000001182</v>
      </c>
      <c r="AW11" s="104">
        <f t="shared" si="3"/>
        <v>0.16300000000001091</v>
      </c>
      <c r="AX11" s="104">
        <f t="shared" si="5"/>
        <v>-9.0499999999998693E-2</v>
      </c>
      <c r="AY11" s="104">
        <f t="shared" si="6"/>
        <v>-0.16400000000000148</v>
      </c>
      <c r="AZ11" s="104">
        <f t="shared" si="7"/>
        <v>-0.10299999999999976</v>
      </c>
    </row>
    <row r="12" spans="1:52" x14ac:dyDescent="0.3">
      <c r="A12" s="97">
        <v>119</v>
      </c>
      <c r="B12" s="98">
        <v>2420921.548</v>
      </c>
      <c r="C12" s="98">
        <v>6035543.199</v>
      </c>
      <c r="D12" s="98">
        <v>110.774</v>
      </c>
      <c r="E12" s="122">
        <v>109.28</v>
      </c>
      <c r="F12" s="100">
        <v>2011</v>
      </c>
      <c r="G12" s="98">
        <v>111.229</v>
      </c>
      <c r="H12" s="100">
        <v>2012</v>
      </c>
      <c r="I12" s="98">
        <v>111.089</v>
      </c>
      <c r="J12" s="100">
        <v>2021</v>
      </c>
      <c r="K12" s="98">
        <v>111.229</v>
      </c>
      <c r="L12" s="98">
        <v>111.089</v>
      </c>
      <c r="M12" s="98">
        <v>111.136</v>
      </c>
      <c r="N12" s="98">
        <v>111.008</v>
      </c>
      <c r="O12" s="98">
        <v>110.94</v>
      </c>
      <c r="P12" s="98">
        <v>111.16800000000001</v>
      </c>
      <c r="Q12" s="98">
        <v>111.16</v>
      </c>
      <c r="R12" s="101">
        <v>111.098</v>
      </c>
      <c r="S12" s="98">
        <v>111.057</v>
      </c>
      <c r="T12" s="101">
        <v>110.96</v>
      </c>
      <c r="U12" s="98">
        <v>111.059</v>
      </c>
      <c r="V12" s="98">
        <v>111.03100000000001</v>
      </c>
      <c r="W12" s="98">
        <v>111.05</v>
      </c>
      <c r="X12" s="98">
        <v>110.872</v>
      </c>
      <c r="Y12" s="98">
        <v>110.9</v>
      </c>
      <c r="Z12" s="98">
        <v>110.85299999999999</v>
      </c>
      <c r="AA12" s="98">
        <v>111.062</v>
      </c>
      <c r="AB12" s="98">
        <v>110.938</v>
      </c>
      <c r="AC12" s="98">
        <v>110.72799999999999</v>
      </c>
      <c r="AD12" s="98">
        <v>110.774</v>
      </c>
      <c r="AE12" s="98">
        <v>110.705</v>
      </c>
      <c r="AF12" s="98">
        <f>M12-K12</f>
        <v>-9.3000000000003524E-2</v>
      </c>
      <c r="AG12" s="98">
        <f>O12-M12</f>
        <v>-0.19599999999999795</v>
      </c>
      <c r="AH12" s="104">
        <f t="shared" si="10"/>
        <v>0.21999999999999886</v>
      </c>
      <c r="AI12" s="104">
        <f t="shared" si="11"/>
        <v>-0.10299999999999443</v>
      </c>
      <c r="AJ12" s="104">
        <f t="shared" si="12"/>
        <v>1.9999999999953388E-3</v>
      </c>
      <c r="AK12" s="104">
        <f t="shared" si="13"/>
        <v>-9.0000000000003411E-3</v>
      </c>
      <c r="AL12" s="104">
        <f t="shared" si="0"/>
        <v>-0.14999999999999147</v>
      </c>
      <c r="AM12" s="104">
        <f t="shared" si="8"/>
        <v>0.16199999999999193</v>
      </c>
      <c r="AN12" s="104">
        <f t="shared" si="9"/>
        <v>-0.12399999999999523</v>
      </c>
      <c r="AO12" s="104">
        <f t="shared" si="4"/>
        <v>-0.16400000000000148</v>
      </c>
      <c r="AP12" s="104">
        <f t="shared" si="1"/>
        <v>-4.5499999999999832E-2</v>
      </c>
      <c r="AQ12" s="105">
        <f>N12-L12</f>
        <v>-8.100000000000307E-2</v>
      </c>
      <c r="AR12" s="104">
        <f>P12-N12</f>
        <v>0.1600000000000108</v>
      </c>
      <c r="AS12" s="104">
        <f t="shared" si="14"/>
        <v>-7.000000000000739E-2</v>
      </c>
      <c r="AT12" s="104">
        <f t="shared" si="15"/>
        <v>-0.13800000000000523</v>
      </c>
      <c r="AU12" s="104">
        <f t="shared" si="16"/>
        <v>7.1000000000012164E-2</v>
      </c>
      <c r="AV12" s="104">
        <f t="shared" si="2"/>
        <v>-0.15900000000000603</v>
      </c>
      <c r="AW12" s="104">
        <f t="shared" si="3"/>
        <v>-1.9000000000005457E-2</v>
      </c>
      <c r="AX12" s="104">
        <f t="shared" si="5"/>
        <v>-6.25E-2</v>
      </c>
      <c r="AY12" s="104">
        <f t="shared" si="6"/>
        <v>-2.2999999999996135E-2</v>
      </c>
      <c r="AZ12" s="104">
        <f t="shared" si="7"/>
        <v>-3.8400000000000031E-2</v>
      </c>
    </row>
    <row r="13" spans="1:52" x14ac:dyDescent="0.3">
      <c r="A13" s="97">
        <v>120</v>
      </c>
      <c r="B13" s="98">
        <v>2246626.031</v>
      </c>
      <c r="C13" s="98">
        <v>6356803.7609999999</v>
      </c>
      <c r="D13" s="98">
        <v>606.66999999999996</v>
      </c>
      <c r="E13" s="122">
        <v>604.16399999999999</v>
      </c>
      <c r="F13" s="100">
        <v>2011</v>
      </c>
      <c r="G13" s="98">
        <v>606.82899999999995</v>
      </c>
      <c r="H13" s="100">
        <v>2014</v>
      </c>
      <c r="I13" s="98">
        <v>606.74099999999999</v>
      </c>
      <c r="J13" s="100">
        <v>2021</v>
      </c>
      <c r="K13" s="98">
        <v>606.82899999999995</v>
      </c>
      <c r="L13" s="98"/>
      <c r="M13" s="98"/>
      <c r="N13" s="98"/>
      <c r="O13" s="98">
        <v>606.55999999999995</v>
      </c>
      <c r="P13" s="98">
        <v>606.74099999999999</v>
      </c>
      <c r="Q13" s="98">
        <v>606.58000000000004</v>
      </c>
      <c r="R13" s="101">
        <v>606.94100000000003</v>
      </c>
      <c r="S13" s="98">
        <v>606.78099999999995</v>
      </c>
      <c r="T13" s="98">
        <v>606.80200000000002</v>
      </c>
      <c r="U13" s="98">
        <v>606.73699999999997</v>
      </c>
      <c r="V13" s="98">
        <v>606.78899999999999</v>
      </c>
      <c r="W13" s="98">
        <v>606.76</v>
      </c>
      <c r="X13" s="98">
        <v>606.89599999999996</v>
      </c>
      <c r="Y13" s="98">
        <v>606.61599999999999</v>
      </c>
      <c r="Z13" s="98">
        <v>606.73299999999995</v>
      </c>
      <c r="AA13" s="98">
        <v>606.67499999999995</v>
      </c>
      <c r="AB13" s="98">
        <v>606.74900000000002</v>
      </c>
      <c r="AC13" s="98">
        <v>606.88300000000004</v>
      </c>
      <c r="AD13" s="98">
        <v>606.66999999999996</v>
      </c>
      <c r="AE13" s="98">
        <v>606.68899999999996</v>
      </c>
      <c r="AF13" s="98"/>
      <c r="AG13" s="98"/>
      <c r="AH13" s="104">
        <f t="shared" si="10"/>
        <v>2.0000000000095497E-2</v>
      </c>
      <c r="AI13" s="104">
        <f t="shared" si="11"/>
        <v>0.20099999999990814</v>
      </c>
      <c r="AJ13" s="104">
        <f t="shared" si="12"/>
        <v>-4.399999999998272E-2</v>
      </c>
      <c r="AK13" s="104">
        <f t="shared" si="13"/>
        <v>2.3000000000024556E-2</v>
      </c>
      <c r="AL13" s="104">
        <f t="shared" si="0"/>
        <v>-0.14400000000000546</v>
      </c>
      <c r="AM13" s="104">
        <f t="shared" si="8"/>
        <v>5.8999999999969077E-2</v>
      </c>
      <c r="AN13" s="104">
        <f t="shared" si="9"/>
        <v>7.4000000000069122E-2</v>
      </c>
      <c r="AO13" s="104">
        <f t="shared" si="4"/>
        <v>-7.9000000000064574E-2</v>
      </c>
      <c r="AP13" s="104">
        <f t="shared" si="1"/>
        <v>-1.5899999999999182E-2</v>
      </c>
      <c r="AQ13" s="105"/>
      <c r="AR13" s="103"/>
      <c r="AS13" s="104">
        <f t="shared" si="14"/>
        <v>0.20000000000004547</v>
      </c>
      <c r="AT13" s="104">
        <f t="shared" si="15"/>
        <v>-0.13900000000001</v>
      </c>
      <c r="AU13" s="104">
        <f t="shared" si="16"/>
        <v>-1.3000000000033651E-2</v>
      </c>
      <c r="AV13" s="104">
        <f t="shared" si="2"/>
        <v>0.1069999999999709</v>
      </c>
      <c r="AW13" s="104">
        <f t="shared" si="3"/>
        <v>-0.16300000000001091</v>
      </c>
      <c r="AX13" s="104">
        <f t="shared" si="5"/>
        <v>7.5000000000045475E-2</v>
      </c>
      <c r="AY13" s="104">
        <f t="shared" si="6"/>
        <v>-0.19400000000007367</v>
      </c>
      <c r="AZ13" s="104">
        <f t="shared" si="7"/>
        <v>-6.5000000000026148E-3</v>
      </c>
    </row>
    <row r="14" spans="1:52" x14ac:dyDescent="0.3">
      <c r="A14" s="97">
        <v>121</v>
      </c>
      <c r="B14" s="98">
        <v>2244410.2540000002</v>
      </c>
      <c r="C14" s="98">
        <v>6123306.2929999996</v>
      </c>
      <c r="D14" s="98">
        <v>126.839</v>
      </c>
      <c r="E14" s="122" t="s">
        <v>3</v>
      </c>
      <c r="F14" s="100">
        <v>2011</v>
      </c>
      <c r="G14" s="98">
        <v>129.83199999999999</v>
      </c>
      <c r="H14" s="100">
        <v>2012</v>
      </c>
      <c r="I14" s="98">
        <v>129.59200000000001</v>
      </c>
      <c r="J14" s="100">
        <v>2021</v>
      </c>
      <c r="K14" s="98">
        <v>129.83199999999999</v>
      </c>
      <c r="L14" s="98">
        <v>129.59200000000001</v>
      </c>
      <c r="M14" s="98">
        <v>129.45099999999999</v>
      </c>
      <c r="N14" s="98">
        <v>129.18199999999999</v>
      </c>
      <c r="O14" s="98">
        <v>128.85</v>
      </c>
      <c r="P14" s="98">
        <v>128.72800000000001</v>
      </c>
      <c r="Q14" s="98">
        <v>128.69800000000001</v>
      </c>
      <c r="R14" s="101">
        <v>128.434</v>
      </c>
      <c r="S14" s="98">
        <v>128.18299999999999</v>
      </c>
      <c r="T14" s="101">
        <v>128.09700000000001</v>
      </c>
      <c r="U14" s="98">
        <v>127.83199999999999</v>
      </c>
      <c r="V14" s="98">
        <v>127.742</v>
      </c>
      <c r="W14" s="98">
        <v>127.69</v>
      </c>
      <c r="X14" s="98">
        <v>127.60899999999999</v>
      </c>
      <c r="Y14" s="98">
        <v>127.44799999999999</v>
      </c>
      <c r="Z14" s="98">
        <v>127.41500000000001</v>
      </c>
      <c r="AA14" s="98">
        <v>127.327</v>
      </c>
      <c r="AB14" s="98">
        <v>127.131</v>
      </c>
      <c r="AC14" s="98">
        <v>127.017</v>
      </c>
      <c r="AD14" s="98">
        <v>126.839</v>
      </c>
      <c r="AE14" s="98">
        <v>126.718</v>
      </c>
      <c r="AF14" s="98">
        <f t="shared" ref="AF14:AF25" si="17">M14-K14</f>
        <v>-0.38100000000000023</v>
      </c>
      <c r="AG14" s="98">
        <f t="shared" ref="AG14:AG25" si="18">O14-M14</f>
        <v>-0.60099999999999909</v>
      </c>
      <c r="AH14" s="104">
        <f t="shared" si="10"/>
        <v>-0.15199999999998681</v>
      </c>
      <c r="AI14" s="104">
        <f t="shared" si="11"/>
        <v>-0.51500000000001478</v>
      </c>
      <c r="AJ14" s="104">
        <f t="shared" si="12"/>
        <v>-0.35099999999999909</v>
      </c>
      <c r="AK14" s="104">
        <f t="shared" si="13"/>
        <v>-0.14199999999999591</v>
      </c>
      <c r="AL14" s="104">
        <f t="shared" si="0"/>
        <v>-0.24200000000000443</v>
      </c>
      <c r="AM14" s="104">
        <f t="shared" si="8"/>
        <v>-0.12099999999999511</v>
      </c>
      <c r="AN14" s="98">
        <f t="shared" si="9"/>
        <v>-0.19599999999999795</v>
      </c>
      <c r="AO14" s="98">
        <f t="shared" si="4"/>
        <v>-0.29200000000000159</v>
      </c>
      <c r="AP14" s="98">
        <f t="shared" si="1"/>
        <v>-0.29929999999999951</v>
      </c>
      <c r="AQ14" s="105">
        <f t="shared" ref="AQ14:AQ25" si="19">N14-L14</f>
        <v>-0.41000000000002501</v>
      </c>
      <c r="AR14" s="104">
        <f t="shared" ref="AR14:AR25" si="20">P14-N14</f>
        <v>-0.45399999999997931</v>
      </c>
      <c r="AS14" s="104">
        <f t="shared" si="14"/>
        <v>-0.29400000000001114</v>
      </c>
      <c r="AT14" s="104">
        <f t="shared" si="15"/>
        <v>-0.33699999999998909</v>
      </c>
      <c r="AU14" s="104">
        <f t="shared" si="16"/>
        <v>-0.35500000000000398</v>
      </c>
      <c r="AV14" s="104">
        <f t="shared" si="2"/>
        <v>-0.13300000000000978</v>
      </c>
      <c r="AW14" s="104">
        <f t="shared" si="3"/>
        <v>-0.1939999999999884</v>
      </c>
      <c r="AX14" s="104">
        <f t="shared" si="5"/>
        <v>-0.19900000000000517</v>
      </c>
      <c r="AY14" s="104">
        <f t="shared" si="6"/>
        <v>-0.29899999999999238</v>
      </c>
      <c r="AZ14" s="104">
        <f t="shared" si="7"/>
        <v>-0.28740000000000093</v>
      </c>
    </row>
    <row r="15" spans="1:52" x14ac:dyDescent="0.3">
      <c r="A15" s="97">
        <v>122</v>
      </c>
      <c r="B15" s="98">
        <v>2166402.6609999998</v>
      </c>
      <c r="C15" s="98">
        <v>6153888.665</v>
      </c>
      <c r="D15" s="98">
        <v>166.976</v>
      </c>
      <c r="E15" s="99" t="s">
        <v>4</v>
      </c>
      <c r="F15" s="100">
        <v>2011</v>
      </c>
      <c r="G15" s="98">
        <v>168.126</v>
      </c>
      <c r="H15" s="100">
        <v>2012</v>
      </c>
      <c r="I15" s="98">
        <v>168.03</v>
      </c>
      <c r="J15" s="100">
        <v>2021</v>
      </c>
      <c r="K15" s="98">
        <v>168.126</v>
      </c>
      <c r="L15" s="98">
        <v>168.03</v>
      </c>
      <c r="M15" s="98">
        <v>168.06</v>
      </c>
      <c r="N15" s="98">
        <v>168.03</v>
      </c>
      <c r="O15" s="98">
        <v>167.744</v>
      </c>
      <c r="P15" s="98">
        <v>167.715</v>
      </c>
      <c r="Q15" s="98">
        <v>167.78899999999999</v>
      </c>
      <c r="R15" s="101">
        <v>167.679</v>
      </c>
      <c r="S15" s="98">
        <v>167.49299999999999</v>
      </c>
      <c r="T15" s="98">
        <v>167.59800000000001</v>
      </c>
      <c r="U15" s="98">
        <v>167.32</v>
      </c>
      <c r="V15" s="98">
        <v>167.423</v>
      </c>
      <c r="W15" s="98">
        <v>167.44</v>
      </c>
      <c r="X15" s="98">
        <v>167.50800000000001</v>
      </c>
      <c r="Y15" s="98">
        <v>167.351</v>
      </c>
      <c r="Z15" s="98">
        <v>167.4</v>
      </c>
      <c r="AA15" s="98">
        <v>167.322</v>
      </c>
      <c r="AB15" s="98">
        <v>167.23099999999999</v>
      </c>
      <c r="AC15" s="98">
        <v>167.23599999999999</v>
      </c>
      <c r="AD15" s="98">
        <v>166.976</v>
      </c>
      <c r="AE15" s="98">
        <v>166.893</v>
      </c>
      <c r="AF15" s="98">
        <f t="shared" si="17"/>
        <v>-6.6000000000002501E-2</v>
      </c>
      <c r="AG15" s="98">
        <f t="shared" si="18"/>
        <v>-0.3160000000000025</v>
      </c>
      <c r="AH15" s="104">
        <f t="shared" si="10"/>
        <v>4.4999999999987494E-2</v>
      </c>
      <c r="AI15" s="104">
        <f t="shared" si="11"/>
        <v>-0.29599999999999227</v>
      </c>
      <c r="AJ15" s="104">
        <f t="shared" si="12"/>
        <v>-0.17300000000000182</v>
      </c>
      <c r="AK15" s="104">
        <f t="shared" si="13"/>
        <v>0.12000000000000455</v>
      </c>
      <c r="AL15" s="104">
        <f t="shared" si="0"/>
        <v>-8.8999999999998636E-2</v>
      </c>
      <c r="AM15" s="104">
        <f t="shared" si="8"/>
        <v>-2.8999999999996362E-2</v>
      </c>
      <c r="AN15" s="98">
        <f t="shared" si="9"/>
        <v>-9.1000000000008185E-2</v>
      </c>
      <c r="AO15" s="98">
        <f t="shared" si="4"/>
        <v>-0.25499999999999545</v>
      </c>
      <c r="AP15" s="98">
        <f t="shared" si="1"/>
        <v>-0.11500000000000057</v>
      </c>
      <c r="AQ15" s="105">
        <f t="shared" si="19"/>
        <v>0</v>
      </c>
      <c r="AR15" s="104">
        <f t="shared" si="20"/>
        <v>-0.31499999999999773</v>
      </c>
      <c r="AS15" s="104">
        <f t="shared" si="14"/>
        <v>-3.6000000000001364E-2</v>
      </c>
      <c r="AT15" s="104">
        <f t="shared" si="15"/>
        <v>-8.0999999999988859E-2</v>
      </c>
      <c r="AU15" s="104">
        <f t="shared" si="16"/>
        <v>-0.17500000000001137</v>
      </c>
      <c r="AV15" s="104">
        <f t="shared" si="2"/>
        <v>8.5000000000007958E-2</v>
      </c>
      <c r="AW15" s="104">
        <f t="shared" si="3"/>
        <v>-0.10800000000000409</v>
      </c>
      <c r="AX15" s="104">
        <f t="shared" si="5"/>
        <v>-8.2000000000007844E-2</v>
      </c>
      <c r="AY15" s="104">
        <f t="shared" si="6"/>
        <v>-0.34299999999998931</v>
      </c>
      <c r="AZ15" s="104">
        <f t="shared" si="7"/>
        <v>-0.11370000000000005</v>
      </c>
    </row>
    <row r="16" spans="1:52" x14ac:dyDescent="0.3">
      <c r="A16" s="97">
        <v>123</v>
      </c>
      <c r="B16" s="98">
        <v>2232691.3059999999</v>
      </c>
      <c r="C16" s="98">
        <v>6167201.676</v>
      </c>
      <c r="D16" s="98">
        <v>157.72999999999999</v>
      </c>
      <c r="E16" s="99" t="s">
        <v>5</v>
      </c>
      <c r="F16" s="100">
        <v>2011</v>
      </c>
      <c r="G16" s="98">
        <v>162.755</v>
      </c>
      <c r="H16" s="100">
        <v>2012</v>
      </c>
      <c r="I16" s="98">
        <v>162.523</v>
      </c>
      <c r="J16" s="100">
        <v>2021</v>
      </c>
      <c r="K16" s="98">
        <v>162.755</v>
      </c>
      <c r="L16" s="98">
        <v>162.523</v>
      </c>
      <c r="M16" s="98">
        <v>162.411</v>
      </c>
      <c r="N16" s="98">
        <v>162.28</v>
      </c>
      <c r="O16" s="98">
        <v>161.75899999999999</v>
      </c>
      <c r="P16" s="98">
        <v>161.65700000000001</v>
      </c>
      <c r="Q16" s="98">
        <v>161.57599999999999</v>
      </c>
      <c r="R16" s="101">
        <v>161.245</v>
      </c>
      <c r="S16" s="98">
        <v>160.91</v>
      </c>
      <c r="T16" s="101">
        <v>160.63999999999999</v>
      </c>
      <c r="U16" s="98">
        <v>160.29300000000001</v>
      </c>
      <c r="V16" s="98">
        <v>159.96299999999999</v>
      </c>
      <c r="W16" s="98">
        <v>159.78</v>
      </c>
      <c r="X16" s="98">
        <v>159.40799999999999</v>
      </c>
      <c r="Y16" s="98">
        <v>159.12100000000001</v>
      </c>
      <c r="Z16" s="98">
        <v>158.87</v>
      </c>
      <c r="AA16" s="98">
        <v>158.61500000000001</v>
      </c>
      <c r="AB16" s="98">
        <v>158.23400000000001</v>
      </c>
      <c r="AC16" s="98">
        <v>158.00200000000001</v>
      </c>
      <c r="AD16" s="98">
        <v>157.72999999999999</v>
      </c>
      <c r="AE16" s="98">
        <v>157.506</v>
      </c>
      <c r="AF16" s="98">
        <f t="shared" si="17"/>
        <v>-0.34399999999999409</v>
      </c>
      <c r="AG16" s="98">
        <f t="shared" si="18"/>
        <v>-0.65200000000001523</v>
      </c>
      <c r="AH16" s="104">
        <f t="shared" si="10"/>
        <v>-0.18299999999999272</v>
      </c>
      <c r="AI16" s="104">
        <f t="shared" si="11"/>
        <v>-0.66599999999999682</v>
      </c>
      <c r="AJ16" s="104">
        <f t="shared" si="12"/>
        <v>-0.61699999999999022</v>
      </c>
      <c r="AK16" s="104">
        <f t="shared" si="13"/>
        <v>-0.51300000000000523</v>
      </c>
      <c r="AL16" s="104">
        <f t="shared" si="0"/>
        <v>-0.65899999999999181</v>
      </c>
      <c r="AM16" s="104">
        <f t="shared" si="8"/>
        <v>-0.50600000000000023</v>
      </c>
      <c r="AN16" s="98">
        <f t="shared" si="9"/>
        <v>-0.38100000000000023</v>
      </c>
      <c r="AO16" s="98">
        <f t="shared" si="4"/>
        <v>-0.5040000000000191</v>
      </c>
      <c r="AP16" s="98">
        <f t="shared" si="1"/>
        <v>-0.50250000000000061</v>
      </c>
      <c r="AQ16" s="105">
        <f t="shared" si="19"/>
        <v>-0.242999999999995</v>
      </c>
      <c r="AR16" s="104">
        <f t="shared" si="20"/>
        <v>-0.62299999999999045</v>
      </c>
      <c r="AS16" s="104">
        <f t="shared" si="14"/>
        <v>-0.41200000000000614</v>
      </c>
      <c r="AT16" s="104">
        <f t="shared" si="15"/>
        <v>-0.60500000000001819</v>
      </c>
      <c r="AU16" s="104">
        <f t="shared" si="16"/>
        <v>-0.6769999999999925</v>
      </c>
      <c r="AV16" s="104">
        <f t="shared" si="2"/>
        <v>-0.55500000000000682</v>
      </c>
      <c r="AW16" s="104">
        <f t="shared" si="3"/>
        <v>-0.53799999999998249</v>
      </c>
      <c r="AX16" s="104">
        <f t="shared" si="5"/>
        <v>-0.4339999999999975</v>
      </c>
      <c r="AY16" s="104">
        <f t="shared" si="6"/>
        <v>-0.49600000000000932</v>
      </c>
      <c r="AZ16" s="104">
        <f t="shared" si="7"/>
        <v>-0.50169999999999959</v>
      </c>
    </row>
    <row r="17" spans="1:52" x14ac:dyDescent="0.3">
      <c r="A17" s="97">
        <v>124</v>
      </c>
      <c r="B17" s="98">
        <v>2280839.148</v>
      </c>
      <c r="C17" s="98">
        <v>6138903.2719999999</v>
      </c>
      <c r="D17" s="98">
        <v>145.33799999999999</v>
      </c>
      <c r="E17" s="99" t="s">
        <v>6</v>
      </c>
      <c r="F17" s="100">
        <v>2011</v>
      </c>
      <c r="G17" s="98">
        <v>149.62299999999999</v>
      </c>
      <c r="H17" s="100">
        <v>2012</v>
      </c>
      <c r="I17" s="98">
        <v>149.416</v>
      </c>
      <c r="J17" s="100">
        <v>2021</v>
      </c>
      <c r="K17" s="98">
        <v>149.62299999999999</v>
      </c>
      <c r="L17" s="98">
        <v>149.416</v>
      </c>
      <c r="M17" s="98">
        <v>149.36600000000001</v>
      </c>
      <c r="N17" s="98">
        <v>148.99</v>
      </c>
      <c r="O17" s="98">
        <v>148.584</v>
      </c>
      <c r="P17" s="98">
        <v>148.25700000000001</v>
      </c>
      <c r="Q17" s="98">
        <v>148.131</v>
      </c>
      <c r="R17" s="101">
        <v>147.46299999999999</v>
      </c>
      <c r="S17" s="98">
        <v>147.202</v>
      </c>
      <c r="T17" s="98">
        <v>146.99</v>
      </c>
      <c r="U17" s="98">
        <v>146.756</v>
      </c>
      <c r="V17" s="98">
        <v>146.61500000000001</v>
      </c>
      <c r="W17" s="98">
        <v>146.61000000000001</v>
      </c>
      <c r="X17" s="98">
        <v>146.32900000000001</v>
      </c>
      <c r="Y17" s="98">
        <v>146.226</v>
      </c>
      <c r="Z17" s="98">
        <v>146.06399999999999</v>
      </c>
      <c r="AA17" s="98">
        <v>146.072</v>
      </c>
      <c r="AB17" s="98">
        <v>145.82</v>
      </c>
      <c r="AC17" s="98">
        <v>145.46700000000001</v>
      </c>
      <c r="AD17" s="98">
        <v>145.33799999999999</v>
      </c>
      <c r="AE17" s="98">
        <v>144.89599999999999</v>
      </c>
      <c r="AF17" s="98">
        <f t="shared" si="17"/>
        <v>-0.25699999999997658</v>
      </c>
      <c r="AG17" s="98">
        <f t="shared" si="18"/>
        <v>-0.78200000000001069</v>
      </c>
      <c r="AH17" s="104">
        <f t="shared" si="10"/>
        <v>-0.45300000000000296</v>
      </c>
      <c r="AI17" s="104">
        <f t="shared" si="11"/>
        <v>-0.92900000000000205</v>
      </c>
      <c r="AJ17" s="104">
        <f t="shared" si="12"/>
        <v>-0.44599999999999795</v>
      </c>
      <c r="AK17" s="104">
        <f t="shared" si="13"/>
        <v>-0.14599999999998658</v>
      </c>
      <c r="AL17" s="104">
        <f t="shared" si="0"/>
        <v>-0.38400000000001455</v>
      </c>
      <c r="AM17" s="104">
        <f t="shared" si="8"/>
        <v>-0.15399999999999636</v>
      </c>
      <c r="AN17" s="98">
        <f t="shared" si="9"/>
        <v>-0.25200000000000955</v>
      </c>
      <c r="AO17" s="98">
        <f t="shared" si="4"/>
        <v>-0.48199999999999932</v>
      </c>
      <c r="AP17" s="98">
        <f t="shared" si="1"/>
        <v>-0.42849999999999966</v>
      </c>
      <c r="AQ17" s="105">
        <f t="shared" si="19"/>
        <v>-0.42599999999998772</v>
      </c>
      <c r="AR17" s="104">
        <f t="shared" si="20"/>
        <v>-0.73300000000000409</v>
      </c>
      <c r="AS17" s="104">
        <f t="shared" si="14"/>
        <v>-0.79400000000001114</v>
      </c>
      <c r="AT17" s="104">
        <f t="shared" si="15"/>
        <v>-0.47299999999998477</v>
      </c>
      <c r="AU17" s="104">
        <f t="shared" si="16"/>
        <v>-0.375</v>
      </c>
      <c r="AV17" s="104">
        <f t="shared" si="2"/>
        <v>-0.28600000000000136</v>
      </c>
      <c r="AW17" s="104">
        <f t="shared" si="3"/>
        <v>-0.26500000000001478</v>
      </c>
      <c r="AX17" s="104">
        <f t="shared" si="5"/>
        <v>-0.29849999999999</v>
      </c>
      <c r="AY17" s="104">
        <f t="shared" si="6"/>
        <v>-0.57100000000002638</v>
      </c>
      <c r="AZ17" s="104">
        <f t="shared" si="7"/>
        <v>-0.45200000000000101</v>
      </c>
    </row>
    <row r="18" spans="1:52" x14ac:dyDescent="0.3">
      <c r="A18" s="49">
        <v>125</v>
      </c>
      <c r="B18" s="158" t="s">
        <v>103</v>
      </c>
      <c r="C18" s="159"/>
      <c r="D18" s="160"/>
      <c r="E18" s="125" t="s">
        <v>7</v>
      </c>
      <c r="F18" s="100">
        <v>2011</v>
      </c>
      <c r="G18" s="98">
        <v>184.28700000000001</v>
      </c>
      <c r="H18" s="100">
        <v>2012</v>
      </c>
      <c r="I18" s="98">
        <v>184.16200000000001</v>
      </c>
      <c r="J18" s="100">
        <v>2021</v>
      </c>
      <c r="K18" s="98">
        <v>184.28700000000001</v>
      </c>
      <c r="L18" s="98">
        <v>184.16200000000001</v>
      </c>
      <c r="M18" s="98">
        <v>184.179</v>
      </c>
      <c r="N18" s="98">
        <v>184.15100000000001</v>
      </c>
      <c r="O18" s="98">
        <v>183.87200000000001</v>
      </c>
      <c r="P18" s="98">
        <v>183.87100000000001</v>
      </c>
      <c r="Q18" s="98">
        <v>183.95</v>
      </c>
      <c r="R18" s="101">
        <v>183.84399999999999</v>
      </c>
      <c r="S18" s="98">
        <v>183.68600000000001</v>
      </c>
      <c r="T18" s="101">
        <v>183.798</v>
      </c>
      <c r="U18" s="98">
        <v>183.52199999999999</v>
      </c>
      <c r="V18" s="98">
        <v>183.58699999999999</v>
      </c>
      <c r="W18" s="98">
        <v>183.56</v>
      </c>
      <c r="X18" s="98">
        <v>183.52799999999999</v>
      </c>
      <c r="Y18" s="98">
        <v>183.393</v>
      </c>
      <c r="Z18" s="98">
        <v>183.392</v>
      </c>
      <c r="AA18" s="98"/>
      <c r="AB18" s="98"/>
      <c r="AC18" s="98"/>
      <c r="AD18" s="98"/>
      <c r="AE18" s="98"/>
      <c r="AF18" s="98">
        <f t="shared" si="17"/>
        <v>-0.10800000000000409</v>
      </c>
      <c r="AG18" s="98">
        <f t="shared" si="18"/>
        <v>-0.30699999999998795</v>
      </c>
      <c r="AH18" s="104">
        <f t="shared" si="10"/>
        <v>7.7999999999974534E-2</v>
      </c>
      <c r="AI18" s="104">
        <f t="shared" si="11"/>
        <v>-0.26399999999998158</v>
      </c>
      <c r="AJ18" s="104">
        <f t="shared" si="12"/>
        <v>-0.16400000000001569</v>
      </c>
      <c r="AK18" s="104">
        <f t="shared" si="13"/>
        <v>3.8000000000010914E-2</v>
      </c>
      <c r="AL18" s="104">
        <f t="shared" si="0"/>
        <v>-0.16700000000000159</v>
      </c>
      <c r="AM18" s="98"/>
      <c r="AN18" s="98"/>
      <c r="AO18" s="98"/>
      <c r="AP18" s="98"/>
      <c r="AQ18" s="105">
        <f t="shared" si="19"/>
        <v>-1.099999999999568E-2</v>
      </c>
      <c r="AR18" s="104">
        <f t="shared" si="20"/>
        <v>-0.28000000000000114</v>
      </c>
      <c r="AS18" s="104">
        <f t="shared" si="14"/>
        <v>-2.7000000000015234E-2</v>
      </c>
      <c r="AT18" s="104">
        <f t="shared" si="15"/>
        <v>-4.5999999999992269E-2</v>
      </c>
      <c r="AU18" s="104">
        <f t="shared" si="16"/>
        <v>-0.21100000000001273</v>
      </c>
      <c r="AV18" s="104">
        <f t="shared" si="2"/>
        <v>-5.8999999999997499E-2</v>
      </c>
      <c r="AW18" s="104">
        <f t="shared" si="3"/>
        <v>-0.13599999999999568</v>
      </c>
      <c r="AX18" s="98"/>
      <c r="AY18" s="104"/>
      <c r="AZ18" s="104"/>
    </row>
    <row r="19" spans="1:52" x14ac:dyDescent="0.3">
      <c r="A19" s="97">
        <v>126</v>
      </c>
      <c r="B19" s="98">
        <v>2355392.89</v>
      </c>
      <c r="C19" s="98">
        <v>6132094.6830000002</v>
      </c>
      <c r="D19" s="98">
        <v>167.048</v>
      </c>
      <c r="E19" s="99" t="s">
        <v>61</v>
      </c>
      <c r="F19" s="100">
        <v>2011</v>
      </c>
      <c r="G19" s="98">
        <v>167.392</v>
      </c>
      <c r="H19" s="100">
        <v>2012</v>
      </c>
      <c r="I19" s="98">
        <v>167.34299999999999</v>
      </c>
      <c r="J19" s="100">
        <v>2021</v>
      </c>
      <c r="K19" s="98">
        <v>167.392</v>
      </c>
      <c r="L19" s="98">
        <v>167.34299999999999</v>
      </c>
      <c r="M19" s="98">
        <v>167.328</v>
      </c>
      <c r="N19" s="98">
        <v>167.33799999999999</v>
      </c>
      <c r="O19" s="98">
        <v>167.14699999999999</v>
      </c>
      <c r="P19" s="98">
        <v>167.321</v>
      </c>
      <c r="Q19" s="98">
        <v>167.37700000000001</v>
      </c>
      <c r="R19" s="101">
        <v>167.31200000000001</v>
      </c>
      <c r="S19" s="98">
        <v>167.21</v>
      </c>
      <c r="T19" s="98">
        <v>167.28299999999999</v>
      </c>
      <c r="U19" s="98">
        <v>167.208</v>
      </c>
      <c r="V19" s="98">
        <v>167.21700000000001</v>
      </c>
      <c r="W19" s="98">
        <v>167.21</v>
      </c>
      <c r="X19" s="98">
        <v>167.19900000000001</v>
      </c>
      <c r="Y19" s="98">
        <v>167.11699999999999</v>
      </c>
      <c r="Z19" s="98">
        <v>167.125</v>
      </c>
      <c r="AA19" s="98">
        <v>167.12899999999999</v>
      </c>
      <c r="AB19" s="98">
        <v>167.15899999999999</v>
      </c>
      <c r="AC19" s="98">
        <v>167.06899999999999</v>
      </c>
      <c r="AD19" s="98">
        <v>167.048</v>
      </c>
      <c r="AE19" s="98">
        <v>167.01599999999999</v>
      </c>
      <c r="AF19" s="98">
        <f t="shared" si="17"/>
        <v>-6.3999999999992951E-2</v>
      </c>
      <c r="AG19" s="98">
        <f t="shared" si="18"/>
        <v>-0.1810000000000116</v>
      </c>
      <c r="AH19" s="104">
        <f t="shared" si="10"/>
        <v>0.23000000000001819</v>
      </c>
      <c r="AI19" s="104">
        <f t="shared" si="11"/>
        <v>-0.16700000000000159</v>
      </c>
      <c r="AJ19" s="104">
        <f t="shared" si="12"/>
        <v>-2.0000000000095497E-3</v>
      </c>
      <c r="AK19" s="104">
        <f t="shared" si="13"/>
        <v>2.0000000000095497E-3</v>
      </c>
      <c r="AL19" s="104">
        <f t="shared" si="0"/>
        <v>-9.3000000000017735E-2</v>
      </c>
      <c r="AM19" s="104">
        <f t="shared" ref="AM19:AM24" si="21">AA19-Y19</f>
        <v>1.2000000000000455E-2</v>
      </c>
      <c r="AN19" s="98">
        <f t="shared" ref="AN19:AN24" si="22">AB19-AA19</f>
        <v>3.0000000000001137E-2</v>
      </c>
      <c r="AO19" s="98">
        <f t="shared" si="4"/>
        <v>-0.11099999999999</v>
      </c>
      <c r="AP19" s="98">
        <f t="shared" si="1"/>
        <v>-3.439999999999941E-2</v>
      </c>
      <c r="AQ19" s="105">
        <f t="shared" si="19"/>
        <v>-4.9999999999954525E-3</v>
      </c>
      <c r="AR19" s="104">
        <f t="shared" si="20"/>
        <v>-1.6999999999995907E-2</v>
      </c>
      <c r="AS19" s="104">
        <f t="shared" si="14"/>
        <v>-8.9999999999861302E-3</v>
      </c>
      <c r="AT19" s="104">
        <f t="shared" si="15"/>
        <v>-2.9000000000024784E-2</v>
      </c>
      <c r="AU19" s="104">
        <f t="shared" si="16"/>
        <v>-6.5999999999974079E-2</v>
      </c>
      <c r="AV19" s="104">
        <f t="shared" si="2"/>
        <v>-1.8000000000000682E-2</v>
      </c>
      <c r="AW19" s="104">
        <f t="shared" si="3"/>
        <v>-7.4000000000012278E-2</v>
      </c>
      <c r="AX19" s="104">
        <f t="shared" ref="AX19:AX24" si="23">(AC19-Z19)/2</f>
        <v>-2.8000000000005798E-2</v>
      </c>
      <c r="AY19" s="104">
        <f t="shared" si="6"/>
        <v>-5.2999999999997272E-2</v>
      </c>
      <c r="AZ19" s="104">
        <f t="shared" si="7"/>
        <v>-3.2699999999999819E-2</v>
      </c>
    </row>
    <row r="20" spans="1:52" x14ac:dyDescent="0.3">
      <c r="A20" s="97">
        <v>127</v>
      </c>
      <c r="B20" s="98">
        <v>2195250.7050000001</v>
      </c>
      <c r="C20" s="98">
        <v>6199772.7810000004</v>
      </c>
      <c r="D20" s="98">
        <v>181.27699999999999</v>
      </c>
      <c r="E20" s="99" t="s">
        <v>8</v>
      </c>
      <c r="F20" s="100">
        <v>2011</v>
      </c>
      <c r="G20" s="98">
        <v>183.001</v>
      </c>
      <c r="H20" s="100">
        <v>2012</v>
      </c>
      <c r="I20" s="98">
        <v>183.05600000000001</v>
      </c>
      <c r="J20" s="100">
        <v>2021</v>
      </c>
      <c r="K20" s="98">
        <v>183.001</v>
      </c>
      <c r="L20" s="98">
        <v>183.05600000000001</v>
      </c>
      <c r="M20" s="98">
        <v>182.88900000000001</v>
      </c>
      <c r="N20" s="98">
        <v>182.91300000000001</v>
      </c>
      <c r="O20" s="98">
        <v>182.554</v>
      </c>
      <c r="P20" s="98">
        <v>182.53</v>
      </c>
      <c r="Q20" s="98">
        <v>182.57599999999999</v>
      </c>
      <c r="R20" s="101">
        <v>182.566</v>
      </c>
      <c r="S20" s="98">
        <v>182.357</v>
      </c>
      <c r="T20" s="101">
        <v>182.34100000000001</v>
      </c>
      <c r="U20" s="98">
        <v>182.14400000000001</v>
      </c>
      <c r="V20" s="98">
        <v>182.024</v>
      </c>
      <c r="W20" s="98">
        <v>182.01</v>
      </c>
      <c r="X20" s="98">
        <v>181.97800000000001</v>
      </c>
      <c r="Y20" s="98">
        <v>181.761</v>
      </c>
      <c r="Z20" s="98">
        <v>181.78700000000001</v>
      </c>
      <c r="AA20" s="98">
        <v>181.65199999999999</v>
      </c>
      <c r="AB20" s="98">
        <v>181.56100000000001</v>
      </c>
      <c r="AC20" s="98">
        <v>181.476</v>
      </c>
      <c r="AD20" s="98">
        <v>181.27699999999999</v>
      </c>
      <c r="AE20" s="98">
        <v>181.18100000000001</v>
      </c>
      <c r="AF20" s="98">
        <f t="shared" si="17"/>
        <v>-0.11199999999999477</v>
      </c>
      <c r="AG20" s="98">
        <f t="shared" si="18"/>
        <v>-0.33500000000000796</v>
      </c>
      <c r="AH20" s="104">
        <f t="shared" si="10"/>
        <v>2.199999999999136E-2</v>
      </c>
      <c r="AI20" s="104">
        <f t="shared" si="11"/>
        <v>-0.21899999999999409</v>
      </c>
      <c r="AJ20" s="104">
        <f t="shared" si="12"/>
        <v>-0.21299999999999386</v>
      </c>
      <c r="AK20" s="104">
        <f t="shared" si="13"/>
        <v>-0.13400000000001455</v>
      </c>
      <c r="AL20" s="104">
        <f t="shared" si="0"/>
        <v>-0.24899999999999523</v>
      </c>
      <c r="AM20" s="104">
        <f t="shared" si="21"/>
        <v>-0.10900000000000887</v>
      </c>
      <c r="AN20" s="98">
        <f t="shared" si="22"/>
        <v>-9.0999999999979764E-2</v>
      </c>
      <c r="AO20" s="98">
        <f t="shared" si="4"/>
        <v>-0.28400000000002024</v>
      </c>
      <c r="AP20" s="98">
        <f t="shared" si="1"/>
        <v>-0.1724000000000018</v>
      </c>
      <c r="AQ20" s="105">
        <f t="shared" si="19"/>
        <v>-0.14300000000000068</v>
      </c>
      <c r="AR20" s="104">
        <f t="shared" si="20"/>
        <v>-0.38300000000000978</v>
      </c>
      <c r="AS20" s="104">
        <f t="shared" si="14"/>
        <v>3.6000000000001364E-2</v>
      </c>
      <c r="AT20" s="104">
        <f t="shared" si="15"/>
        <v>-0.22499999999999432</v>
      </c>
      <c r="AU20" s="104">
        <f t="shared" si="16"/>
        <v>-0.31700000000000728</v>
      </c>
      <c r="AV20" s="104">
        <f t="shared" si="2"/>
        <v>-4.5999999999992269E-2</v>
      </c>
      <c r="AW20" s="104">
        <f t="shared" si="3"/>
        <v>-0.1910000000000025</v>
      </c>
      <c r="AX20" s="104">
        <f t="shared" si="23"/>
        <v>-0.15550000000000352</v>
      </c>
      <c r="AY20" s="104">
        <f t="shared" si="6"/>
        <v>-0.29499999999998749</v>
      </c>
      <c r="AZ20" s="104">
        <f t="shared" si="7"/>
        <v>-0.1875</v>
      </c>
    </row>
    <row r="21" spans="1:52" x14ac:dyDescent="0.3">
      <c r="A21" s="82">
        <v>128</v>
      </c>
      <c r="B21" s="83">
        <v>2114491.8220000002</v>
      </c>
      <c r="C21" s="83">
        <v>6074855.7280000001</v>
      </c>
      <c r="D21" s="83">
        <v>619.25300000000004</v>
      </c>
      <c r="E21" s="96" t="s">
        <v>9</v>
      </c>
      <c r="F21" s="100">
        <v>2011</v>
      </c>
      <c r="G21" s="98">
        <v>619.38699999999994</v>
      </c>
      <c r="H21" s="100">
        <v>2012</v>
      </c>
      <c r="I21" s="98">
        <v>619.31700000000001</v>
      </c>
      <c r="J21" s="100">
        <v>2021</v>
      </c>
      <c r="K21" s="98">
        <v>619.38699999999994</v>
      </c>
      <c r="L21" s="98">
        <v>619.31700000000001</v>
      </c>
      <c r="M21" s="98">
        <v>619.30499999999995</v>
      </c>
      <c r="N21" s="98">
        <v>619.39400000000001</v>
      </c>
      <c r="O21" s="98">
        <v>619.16999999999996</v>
      </c>
      <c r="P21" s="98">
        <v>619.25599999999997</v>
      </c>
      <c r="Q21" s="98">
        <v>619.40200000000004</v>
      </c>
      <c r="R21" s="101">
        <v>619.37300000000005</v>
      </c>
      <c r="S21" s="98">
        <v>619.245</v>
      </c>
      <c r="T21" s="98">
        <v>619.476</v>
      </c>
      <c r="U21" s="98">
        <v>619.29499999999996</v>
      </c>
      <c r="V21" s="98">
        <v>619.42200000000003</v>
      </c>
      <c r="W21" s="98">
        <v>619.29999999999995</v>
      </c>
      <c r="X21" s="98">
        <v>619.33199999999999</v>
      </c>
      <c r="Y21" s="98">
        <v>619.32399999999996</v>
      </c>
      <c r="Z21" s="98">
        <v>619.4</v>
      </c>
      <c r="AA21" s="98">
        <v>619.42100000000005</v>
      </c>
      <c r="AB21" s="98">
        <v>619.29200000000003</v>
      </c>
      <c r="AC21" s="98">
        <v>619.428</v>
      </c>
      <c r="AD21" s="98">
        <v>619.25300000000004</v>
      </c>
      <c r="AE21" s="98">
        <v>619.29100000000005</v>
      </c>
      <c r="AF21" s="98">
        <f t="shared" si="17"/>
        <v>-8.1999999999993634E-2</v>
      </c>
      <c r="AG21" s="98">
        <f t="shared" si="18"/>
        <v>-0.13499999999999091</v>
      </c>
      <c r="AH21" s="104">
        <f t="shared" si="10"/>
        <v>0.23200000000008458</v>
      </c>
      <c r="AI21" s="104">
        <f t="shared" si="11"/>
        <v>-0.15700000000003911</v>
      </c>
      <c r="AJ21" s="104">
        <f t="shared" si="12"/>
        <v>4.9999999999954525E-2</v>
      </c>
      <c r="AK21" s="104">
        <f t="shared" si="13"/>
        <v>4.9999999999954525E-3</v>
      </c>
      <c r="AL21" s="104">
        <f t="shared" si="0"/>
        <v>2.4000000000000909E-2</v>
      </c>
      <c r="AM21" s="104">
        <f t="shared" si="21"/>
        <v>9.7000000000093678E-2</v>
      </c>
      <c r="AN21" s="98">
        <f t="shared" si="22"/>
        <v>-0.1290000000000191</v>
      </c>
      <c r="AO21" s="98">
        <f t="shared" si="4"/>
        <v>-3.8999999999987267E-2</v>
      </c>
      <c r="AP21" s="98">
        <f t="shared" si="1"/>
        <v>-1.3399999999990087E-2</v>
      </c>
      <c r="AQ21" s="105">
        <f t="shared" si="19"/>
        <v>7.6999999999998181E-2</v>
      </c>
      <c r="AR21" s="104">
        <f t="shared" si="20"/>
        <v>-0.13800000000003365</v>
      </c>
      <c r="AS21" s="104">
        <f t="shared" si="14"/>
        <v>0.11700000000007549</v>
      </c>
      <c r="AT21" s="104">
        <f t="shared" si="15"/>
        <v>0.1029999999999518</v>
      </c>
      <c r="AU21" s="104">
        <f t="shared" si="16"/>
        <v>-5.3999999999973625E-2</v>
      </c>
      <c r="AV21" s="104">
        <f t="shared" si="2"/>
        <v>-9.0000000000031832E-2</v>
      </c>
      <c r="AW21" s="104">
        <f t="shared" si="3"/>
        <v>6.7999999999983629E-2</v>
      </c>
      <c r="AX21" s="104">
        <f t="shared" si="23"/>
        <v>1.4000000000010004E-2</v>
      </c>
      <c r="AY21" s="104">
        <f t="shared" si="6"/>
        <v>-0.13699999999994361</v>
      </c>
      <c r="AZ21" s="104">
        <f t="shared" si="7"/>
        <v>-2.5999999999953617E-3</v>
      </c>
    </row>
    <row r="22" spans="1:52" x14ac:dyDescent="0.3">
      <c r="A22" s="97">
        <v>129</v>
      </c>
      <c r="B22" s="98">
        <v>2198475.3470000001</v>
      </c>
      <c r="C22" s="98">
        <v>6133714.1629999997</v>
      </c>
      <c r="D22" s="98">
        <v>144.77099999999999</v>
      </c>
      <c r="E22" s="99" t="s">
        <v>10</v>
      </c>
      <c r="F22" s="100">
        <v>2011</v>
      </c>
      <c r="G22" s="98">
        <v>146.464</v>
      </c>
      <c r="H22" s="100">
        <v>2012</v>
      </c>
      <c r="I22" s="98">
        <v>146.37700000000001</v>
      </c>
      <c r="J22" s="100">
        <v>2021</v>
      </c>
      <c r="K22" s="98">
        <v>146.464</v>
      </c>
      <c r="L22" s="98">
        <v>146.37700000000001</v>
      </c>
      <c r="M22" s="98">
        <v>146.34299999999999</v>
      </c>
      <c r="N22" s="98">
        <v>146.31200000000001</v>
      </c>
      <c r="O22" s="98">
        <v>146.02699999999999</v>
      </c>
      <c r="P22" s="98">
        <v>145.982</v>
      </c>
      <c r="Q22" s="98">
        <v>146.05199999999999</v>
      </c>
      <c r="R22" s="101">
        <v>145.89599999999999</v>
      </c>
      <c r="S22" s="98">
        <v>145.75</v>
      </c>
      <c r="T22" s="101">
        <v>145.70599999999999</v>
      </c>
      <c r="U22" s="98">
        <v>145.476</v>
      </c>
      <c r="V22" s="98">
        <v>145.52000000000001</v>
      </c>
      <c r="W22" s="98">
        <v>145.47999999999999</v>
      </c>
      <c r="X22" s="98">
        <v>145.453</v>
      </c>
      <c r="Y22" s="98">
        <v>145.309</v>
      </c>
      <c r="Z22" s="98">
        <v>145.27600000000001</v>
      </c>
      <c r="AA22" s="98">
        <v>145.19300000000001</v>
      </c>
      <c r="AB22" s="98">
        <v>144.999</v>
      </c>
      <c r="AC22" s="98">
        <v>144.93899999999999</v>
      </c>
      <c r="AD22" s="98">
        <v>144.77099999999999</v>
      </c>
      <c r="AE22" s="98">
        <v>144.66900000000001</v>
      </c>
      <c r="AF22" s="98">
        <f t="shared" si="17"/>
        <v>-0.12100000000000932</v>
      </c>
      <c r="AG22" s="98">
        <f t="shared" si="18"/>
        <v>-0.3160000000000025</v>
      </c>
      <c r="AH22" s="104">
        <f t="shared" si="10"/>
        <v>2.5000000000005684E-2</v>
      </c>
      <c r="AI22" s="104">
        <f t="shared" si="11"/>
        <v>-0.3019999999999925</v>
      </c>
      <c r="AJ22" s="104">
        <f t="shared" si="12"/>
        <v>-0.27400000000000091</v>
      </c>
      <c r="AK22" s="104">
        <f t="shared" si="13"/>
        <v>3.9999999999906777E-3</v>
      </c>
      <c r="AL22" s="104">
        <f t="shared" si="0"/>
        <v>-0.17099999999999227</v>
      </c>
      <c r="AM22" s="104">
        <f t="shared" si="21"/>
        <v>-0.11599999999998545</v>
      </c>
      <c r="AN22" s="98">
        <f t="shared" si="22"/>
        <v>-0.19400000000001683</v>
      </c>
      <c r="AO22" s="98">
        <f t="shared" si="4"/>
        <v>-0.22800000000000864</v>
      </c>
      <c r="AP22" s="98">
        <f t="shared" si="1"/>
        <v>-0.1693000000000012</v>
      </c>
      <c r="AQ22" s="105">
        <f t="shared" si="19"/>
        <v>-6.4999999999997726E-2</v>
      </c>
      <c r="AR22" s="104">
        <f t="shared" si="20"/>
        <v>-0.33000000000001251</v>
      </c>
      <c r="AS22" s="104">
        <f t="shared" si="14"/>
        <v>-8.6000000000012733E-2</v>
      </c>
      <c r="AT22" s="104">
        <f t="shared" si="15"/>
        <v>-0.18999999999999773</v>
      </c>
      <c r="AU22" s="104">
        <f t="shared" si="16"/>
        <v>-0.18599999999997863</v>
      </c>
      <c r="AV22" s="104">
        <f t="shared" si="2"/>
        <v>-6.7000000000007276E-2</v>
      </c>
      <c r="AW22" s="104">
        <f t="shared" si="3"/>
        <v>-0.1769999999999925</v>
      </c>
      <c r="AX22" s="104">
        <f t="shared" si="23"/>
        <v>-0.16850000000000875</v>
      </c>
      <c r="AY22" s="104">
        <f t="shared" si="6"/>
        <v>-0.26999999999998181</v>
      </c>
      <c r="AZ22" s="104">
        <f t="shared" si="7"/>
        <v>-0.17079999999999984</v>
      </c>
    </row>
    <row r="23" spans="1:52" x14ac:dyDescent="0.3">
      <c r="A23" s="97">
        <v>130</v>
      </c>
      <c r="B23" s="98">
        <v>2365903.807</v>
      </c>
      <c r="C23" s="98">
        <v>6000988.7359999996</v>
      </c>
      <c r="D23" s="98">
        <v>72.923000000000002</v>
      </c>
      <c r="E23" s="99" t="s">
        <v>11</v>
      </c>
      <c r="F23" s="100">
        <v>2011</v>
      </c>
      <c r="G23" s="98">
        <v>73.272999999999996</v>
      </c>
      <c r="H23" s="100">
        <v>2012</v>
      </c>
      <c r="I23" s="98">
        <v>73.221000000000004</v>
      </c>
      <c r="J23" s="100">
        <v>2021</v>
      </c>
      <c r="K23" s="98">
        <v>73.272999999999996</v>
      </c>
      <c r="L23" s="98">
        <v>73.221000000000004</v>
      </c>
      <c r="M23" s="98">
        <v>73.236999999999995</v>
      </c>
      <c r="N23" s="98">
        <v>73.141999999999996</v>
      </c>
      <c r="O23" s="98">
        <v>73.058000000000007</v>
      </c>
      <c r="P23" s="98">
        <v>73.350999999999999</v>
      </c>
      <c r="Q23" s="98">
        <v>73.265000000000001</v>
      </c>
      <c r="R23" s="101">
        <v>73.165000000000006</v>
      </c>
      <c r="S23" s="98">
        <v>73.120999999999995</v>
      </c>
      <c r="T23" s="98">
        <v>73.040999999999997</v>
      </c>
      <c r="U23" s="98">
        <v>73.165000000000006</v>
      </c>
      <c r="V23" s="98">
        <v>73.216999999999999</v>
      </c>
      <c r="W23" s="98">
        <v>73.150000000000006</v>
      </c>
      <c r="X23" s="98">
        <v>72.986999999999995</v>
      </c>
      <c r="Y23" s="98">
        <v>73.13</v>
      </c>
      <c r="Z23" s="98">
        <v>73.13</v>
      </c>
      <c r="AA23" s="98">
        <v>73.171999999999997</v>
      </c>
      <c r="AB23" s="98">
        <v>73.058000000000007</v>
      </c>
      <c r="AC23" s="98">
        <v>73.094999999999999</v>
      </c>
      <c r="AD23" s="98">
        <v>72.923000000000002</v>
      </c>
      <c r="AE23" s="98">
        <v>72.966999999999999</v>
      </c>
      <c r="AF23" s="98">
        <f t="shared" si="17"/>
        <v>-3.6000000000001364E-2</v>
      </c>
      <c r="AG23" s="98">
        <f t="shared" si="18"/>
        <v>-0.17899999999998784</v>
      </c>
      <c r="AH23" s="104">
        <f t="shared" si="10"/>
        <v>0.20699999999999363</v>
      </c>
      <c r="AI23" s="104">
        <f t="shared" si="11"/>
        <v>-0.14400000000000546</v>
      </c>
      <c r="AJ23" s="104">
        <f t="shared" si="12"/>
        <v>4.4000000000011141E-2</v>
      </c>
      <c r="AK23" s="104">
        <f t="shared" si="13"/>
        <v>-1.5000000000000568E-2</v>
      </c>
      <c r="AL23" s="104">
        <f t="shared" si="0"/>
        <v>-2.0000000000010232E-2</v>
      </c>
      <c r="AM23" s="104">
        <f t="shared" si="21"/>
        <v>4.2000000000001592E-2</v>
      </c>
      <c r="AN23" s="98">
        <f t="shared" si="22"/>
        <v>-0.11399999999999011</v>
      </c>
      <c r="AO23" s="98">
        <f t="shared" si="4"/>
        <v>-0.13500000000000512</v>
      </c>
      <c r="AP23" s="98">
        <f t="shared" si="1"/>
        <v>-3.4999999999999434E-2</v>
      </c>
      <c r="AQ23" s="105">
        <f t="shared" si="19"/>
        <v>-7.9000000000007731E-2</v>
      </c>
      <c r="AR23" s="104">
        <f t="shared" si="20"/>
        <v>0.20900000000000318</v>
      </c>
      <c r="AS23" s="104">
        <f t="shared" si="14"/>
        <v>-0.18599999999999284</v>
      </c>
      <c r="AT23" s="104">
        <f t="shared" si="15"/>
        <v>-0.12400000000000944</v>
      </c>
      <c r="AU23" s="104">
        <f t="shared" si="16"/>
        <v>0.17600000000000193</v>
      </c>
      <c r="AV23" s="104">
        <f t="shared" si="2"/>
        <v>-0.23000000000000398</v>
      </c>
      <c r="AW23" s="104">
        <f t="shared" si="3"/>
        <v>0.14300000000000068</v>
      </c>
      <c r="AX23" s="104">
        <f t="shared" si="23"/>
        <v>-1.7499999999998295E-2</v>
      </c>
      <c r="AY23" s="104">
        <f t="shared" si="6"/>
        <v>-0.12800000000000011</v>
      </c>
      <c r="AZ23" s="104">
        <f t="shared" si="7"/>
        <v>-2.5400000000000488E-2</v>
      </c>
    </row>
    <row r="24" spans="1:52" x14ac:dyDescent="0.3">
      <c r="A24" s="97">
        <v>131</v>
      </c>
      <c r="B24" s="98">
        <v>2332746.4929999998</v>
      </c>
      <c r="C24" s="98">
        <v>6191752.0149999997</v>
      </c>
      <c r="D24" s="98">
        <v>242.95400000000001</v>
      </c>
      <c r="E24" s="99" t="s">
        <v>62</v>
      </c>
      <c r="F24" s="100">
        <v>2011</v>
      </c>
      <c r="G24" s="98">
        <v>243.17500000000001</v>
      </c>
      <c r="H24" s="100">
        <v>2012</v>
      </c>
      <c r="I24" s="98">
        <v>243.22200000000001</v>
      </c>
      <c r="J24" s="100">
        <v>2021</v>
      </c>
      <c r="K24" s="98">
        <v>243.17500000000001</v>
      </c>
      <c r="L24" s="98">
        <v>243.22200000000001</v>
      </c>
      <c r="M24" s="98">
        <v>243.19300000000001</v>
      </c>
      <c r="N24" s="98">
        <v>243.26499999999999</v>
      </c>
      <c r="O24" s="98">
        <v>243.01</v>
      </c>
      <c r="P24" s="98">
        <v>243.15600000000001</v>
      </c>
      <c r="Q24" s="98">
        <v>243.09</v>
      </c>
      <c r="R24" s="101">
        <v>243.107</v>
      </c>
      <c r="S24" s="98">
        <v>242.94800000000001</v>
      </c>
      <c r="T24" s="101">
        <v>242.964</v>
      </c>
      <c r="U24" s="98">
        <v>242.928</v>
      </c>
      <c r="V24" s="98">
        <v>242.959</v>
      </c>
      <c r="W24" s="98">
        <v>243</v>
      </c>
      <c r="X24" s="98">
        <v>243.131</v>
      </c>
      <c r="Y24" s="98">
        <v>242.79</v>
      </c>
      <c r="Z24" s="98">
        <v>242.959</v>
      </c>
      <c r="AA24" s="98">
        <v>242.92699999999999</v>
      </c>
      <c r="AB24" s="98">
        <v>242.94900000000001</v>
      </c>
      <c r="AC24" s="98">
        <v>242.85400000000001</v>
      </c>
      <c r="AD24" s="98">
        <v>242.95400000000001</v>
      </c>
      <c r="AE24" s="98">
        <v>242.65100000000001</v>
      </c>
      <c r="AF24" s="98">
        <f t="shared" si="17"/>
        <v>1.8000000000000682E-2</v>
      </c>
      <c r="AG24" s="98">
        <f t="shared" si="18"/>
        <v>-0.18300000000002115</v>
      </c>
      <c r="AH24" s="104">
        <f t="shared" si="10"/>
        <v>8.0000000000012506E-2</v>
      </c>
      <c r="AI24" s="104">
        <f t="shared" si="11"/>
        <v>-0.14199999999999591</v>
      </c>
      <c r="AJ24" s="104">
        <f t="shared" si="12"/>
        <v>-2.0000000000010232E-2</v>
      </c>
      <c r="AK24" s="104">
        <f t="shared" si="13"/>
        <v>7.2000000000002728E-2</v>
      </c>
      <c r="AL24" s="104">
        <f t="shared" si="0"/>
        <v>-0.21000000000000796</v>
      </c>
      <c r="AM24" s="104">
        <f t="shared" si="21"/>
        <v>0.13700000000000045</v>
      </c>
      <c r="AN24" s="98">
        <f t="shared" si="22"/>
        <v>2.2000000000019782E-2</v>
      </c>
      <c r="AO24" s="98">
        <f t="shared" si="4"/>
        <v>4.9999999999954525E-3</v>
      </c>
      <c r="AP24" s="98">
        <f t="shared" si="1"/>
        <v>-2.2100000000000362E-2</v>
      </c>
      <c r="AQ24" s="105">
        <f t="shared" si="19"/>
        <v>4.2999999999977945E-2</v>
      </c>
      <c r="AR24" s="104">
        <f t="shared" si="20"/>
        <v>-0.10899999999998045</v>
      </c>
      <c r="AS24" s="104">
        <f t="shared" si="14"/>
        <v>-4.9000000000006594E-2</v>
      </c>
      <c r="AT24" s="104">
        <f t="shared" si="15"/>
        <v>-0.14300000000000068</v>
      </c>
      <c r="AU24" s="104">
        <f t="shared" si="16"/>
        <v>-4.9999999999954525E-3</v>
      </c>
      <c r="AV24" s="104">
        <f t="shared" si="2"/>
        <v>0.17199999999999704</v>
      </c>
      <c r="AW24" s="104">
        <f t="shared" si="3"/>
        <v>-0.17199999999999704</v>
      </c>
      <c r="AX24" s="104">
        <f t="shared" si="23"/>
        <v>-5.2499999999994884E-2</v>
      </c>
      <c r="AY24" s="104">
        <f t="shared" si="6"/>
        <v>-0.20300000000000296</v>
      </c>
      <c r="AZ24" s="104">
        <f t="shared" si="7"/>
        <v>-5.7099999999999797E-2</v>
      </c>
    </row>
    <row r="25" spans="1:52" x14ac:dyDescent="0.3">
      <c r="A25" s="49">
        <v>132</v>
      </c>
      <c r="B25" s="158" t="s">
        <v>103</v>
      </c>
      <c r="C25" s="159"/>
      <c r="D25" s="160"/>
      <c r="E25" s="126" t="s">
        <v>108</v>
      </c>
      <c r="F25" s="100">
        <v>2011</v>
      </c>
      <c r="G25" s="98">
        <v>127.21</v>
      </c>
      <c r="H25" s="100">
        <v>2012</v>
      </c>
      <c r="I25" s="98">
        <v>126.93600000000001</v>
      </c>
      <c r="J25" s="100">
        <v>2021</v>
      </c>
      <c r="K25" s="98">
        <v>127.21</v>
      </c>
      <c r="L25" s="98">
        <v>126.93600000000001</v>
      </c>
      <c r="M25" s="98">
        <v>126.81699999999999</v>
      </c>
      <c r="N25" s="98">
        <v>126.39700000000001</v>
      </c>
      <c r="O25" s="98">
        <v>126.107</v>
      </c>
      <c r="P25" s="98">
        <v>125.86499999999999</v>
      </c>
      <c r="Q25" s="98">
        <v>125.789</v>
      </c>
      <c r="R25" s="101">
        <v>125.34399999999999</v>
      </c>
      <c r="S25" s="98">
        <v>125.105</v>
      </c>
      <c r="T25" s="98">
        <v>124.91500000000001</v>
      </c>
      <c r="U25" s="98">
        <v>124.678</v>
      </c>
      <c r="V25" s="98">
        <v>124.511</v>
      </c>
      <c r="W25" s="98">
        <v>124.45</v>
      </c>
      <c r="X25" s="98"/>
      <c r="Y25" s="98"/>
      <c r="Z25" s="98"/>
      <c r="AA25" s="98"/>
      <c r="AB25" s="98"/>
      <c r="AC25" s="98"/>
      <c r="AD25" s="98"/>
      <c r="AE25" s="98"/>
      <c r="AF25" s="98">
        <f t="shared" si="17"/>
        <v>-0.39300000000000068</v>
      </c>
      <c r="AG25" s="98">
        <f t="shared" si="18"/>
        <v>-0.70999999999999375</v>
      </c>
      <c r="AH25" s="104">
        <f t="shared" si="10"/>
        <v>-0.31799999999999784</v>
      </c>
      <c r="AI25" s="104">
        <f t="shared" si="11"/>
        <v>-0.6839999999999975</v>
      </c>
      <c r="AJ25" s="104">
        <f t="shared" si="12"/>
        <v>-0.42700000000000671</v>
      </c>
      <c r="AK25" s="104">
        <f t="shared" si="13"/>
        <v>-0.22799999999999443</v>
      </c>
      <c r="AL25" s="98"/>
      <c r="AM25" s="98"/>
      <c r="AN25" s="98"/>
      <c r="AO25" s="98"/>
      <c r="AP25" s="98"/>
      <c r="AQ25" s="105">
        <f t="shared" si="19"/>
        <v>-0.53900000000000148</v>
      </c>
      <c r="AR25" s="104">
        <f t="shared" si="20"/>
        <v>-0.53200000000001069</v>
      </c>
      <c r="AS25" s="104">
        <f t="shared" si="14"/>
        <v>-0.5210000000000008</v>
      </c>
      <c r="AT25" s="104">
        <f t="shared" si="15"/>
        <v>-0.42899999999998784</v>
      </c>
      <c r="AU25" s="104">
        <f t="shared" si="16"/>
        <v>-0.40400000000001057</v>
      </c>
      <c r="AV25" s="98"/>
      <c r="AW25" s="98"/>
      <c r="AX25" s="98"/>
      <c r="AY25" s="104"/>
      <c r="AZ25" s="104"/>
    </row>
    <row r="26" spans="1:52" x14ac:dyDescent="0.3">
      <c r="A26" s="97" t="s">
        <v>102</v>
      </c>
      <c r="B26" s="98">
        <v>2249261.142</v>
      </c>
      <c r="C26" s="98">
        <v>6122672.227</v>
      </c>
      <c r="D26" s="98">
        <v>126.423</v>
      </c>
      <c r="E26" s="122" t="s">
        <v>101</v>
      </c>
      <c r="F26" s="100">
        <v>2018</v>
      </c>
      <c r="G26" s="98">
        <v>127.026</v>
      </c>
      <c r="H26" s="100">
        <v>2019</v>
      </c>
      <c r="I26" s="98">
        <v>126.98</v>
      </c>
      <c r="J26" s="100">
        <v>2021</v>
      </c>
      <c r="K26" s="98" t="s">
        <v>99</v>
      </c>
      <c r="L26" s="98" t="s">
        <v>99</v>
      </c>
      <c r="M26" s="98" t="s">
        <v>99</v>
      </c>
      <c r="N26" s="98" t="s">
        <v>99</v>
      </c>
      <c r="O26" s="98" t="s">
        <v>99</v>
      </c>
      <c r="P26" s="98" t="s">
        <v>99</v>
      </c>
      <c r="Q26" s="98" t="s">
        <v>99</v>
      </c>
      <c r="R26" s="101" t="s">
        <v>99</v>
      </c>
      <c r="S26" s="98" t="s">
        <v>99</v>
      </c>
      <c r="T26" s="98" t="s">
        <v>99</v>
      </c>
      <c r="U26" s="98" t="s">
        <v>99</v>
      </c>
      <c r="V26" s="98" t="s">
        <v>99</v>
      </c>
      <c r="W26" s="98" t="s">
        <v>99</v>
      </c>
      <c r="X26" s="98"/>
      <c r="Y26" s="98">
        <v>127.026</v>
      </c>
      <c r="Z26" s="98">
        <v>126.98</v>
      </c>
      <c r="AA26" s="98">
        <v>126.892</v>
      </c>
      <c r="AB26" s="98">
        <v>126.696</v>
      </c>
      <c r="AC26" s="98">
        <v>126.601</v>
      </c>
      <c r="AD26" s="98">
        <v>126.423</v>
      </c>
      <c r="AE26" s="98">
        <v>126.25</v>
      </c>
      <c r="AF26" s="98" t="s">
        <v>99</v>
      </c>
      <c r="AG26" s="98" t="s">
        <v>99</v>
      </c>
      <c r="AH26" s="104" t="s">
        <v>99</v>
      </c>
      <c r="AI26" s="104" t="s">
        <v>99</v>
      </c>
      <c r="AJ26" s="104" t="s">
        <v>99</v>
      </c>
      <c r="AK26" s="104" t="s">
        <v>99</v>
      </c>
      <c r="AL26" s="104"/>
      <c r="AM26" s="104">
        <f>AA26-Y26</f>
        <v>-0.13400000000000034</v>
      </c>
      <c r="AN26" s="104">
        <f>AB26-AA26</f>
        <v>-0.19599999999999795</v>
      </c>
      <c r="AO26" s="98">
        <f t="shared" si="4"/>
        <v>-0.27299999999999613</v>
      </c>
      <c r="AP26" s="103">
        <f t="shared" si="1"/>
        <v>-0.20099999999999815</v>
      </c>
      <c r="AQ26" s="105" t="s">
        <v>99</v>
      </c>
      <c r="AR26" s="104" t="s">
        <v>99</v>
      </c>
      <c r="AS26" s="104" t="s">
        <v>99</v>
      </c>
      <c r="AT26" s="104" t="s">
        <v>99</v>
      </c>
      <c r="AU26" s="104" t="s">
        <v>99</v>
      </c>
      <c r="AV26" s="104"/>
      <c r="AW26" s="104" t="s">
        <v>99</v>
      </c>
      <c r="AX26" s="104">
        <f t="shared" ref="AX26:AX27" si="24">(AC26-Z26)/2</f>
        <v>-0.18950000000000244</v>
      </c>
      <c r="AY26" s="104">
        <f t="shared" si="6"/>
        <v>-0.35099999999999909</v>
      </c>
      <c r="AZ26" s="104">
        <f t="shared" si="7"/>
        <v>-0.24333333333333465</v>
      </c>
    </row>
    <row r="27" spans="1:52" x14ac:dyDescent="0.3">
      <c r="A27" s="97">
        <v>133</v>
      </c>
      <c r="B27" s="98">
        <v>2273311.412</v>
      </c>
      <c r="C27" s="98">
        <v>6111332.2050000001</v>
      </c>
      <c r="D27" s="98">
        <v>118.54900000000001</v>
      </c>
      <c r="E27" s="99" t="s">
        <v>12</v>
      </c>
      <c r="F27" s="100">
        <v>2011</v>
      </c>
      <c r="G27" s="98">
        <v>122.331</v>
      </c>
      <c r="H27" s="100">
        <v>2012</v>
      </c>
      <c r="I27" s="98">
        <v>122.215</v>
      </c>
      <c r="J27" s="100">
        <v>2021</v>
      </c>
      <c r="K27" s="98">
        <v>122.331</v>
      </c>
      <c r="L27" s="98">
        <v>122.215</v>
      </c>
      <c r="M27" s="98">
        <v>121.98399999999999</v>
      </c>
      <c r="N27" s="98">
        <v>121.74</v>
      </c>
      <c r="O27" s="98">
        <v>121.358</v>
      </c>
      <c r="P27" s="98">
        <v>121.282</v>
      </c>
      <c r="Q27" s="98">
        <v>121.123</v>
      </c>
      <c r="R27" s="101">
        <v>120.81699999999999</v>
      </c>
      <c r="S27" s="98">
        <v>120.492</v>
      </c>
      <c r="T27" s="101">
        <v>120.426</v>
      </c>
      <c r="U27" s="98">
        <v>120.029</v>
      </c>
      <c r="V27" s="98">
        <v>119.93300000000001</v>
      </c>
      <c r="W27" s="98">
        <v>119.87</v>
      </c>
      <c r="X27" s="98">
        <v>119.664</v>
      </c>
      <c r="Y27" s="98">
        <v>119.51</v>
      </c>
      <c r="Z27" s="98">
        <v>119.40900000000001</v>
      </c>
      <c r="AA27" s="98">
        <v>119.279</v>
      </c>
      <c r="AB27" s="98">
        <v>118.926</v>
      </c>
      <c r="AC27" s="98">
        <v>118.78100000000001</v>
      </c>
      <c r="AD27" s="98">
        <v>118.54900000000001</v>
      </c>
      <c r="AE27" s="98">
        <v>118.28700000000001</v>
      </c>
      <c r="AF27" s="98">
        <f t="shared" ref="AF27:AF35" si="25">M27-K27</f>
        <v>-0.34700000000000841</v>
      </c>
      <c r="AG27" s="98">
        <f t="shared" ref="AG27:AG35" si="26">O27-M27</f>
        <v>-0.62599999999999056</v>
      </c>
      <c r="AH27" s="104">
        <f t="shared" ref="AH27:AH52" si="27">Q27-O27</f>
        <v>-0.23499999999999943</v>
      </c>
      <c r="AI27" s="104">
        <f t="shared" ref="AI27:AI52" si="28">S27-Q27</f>
        <v>-0.63100000000000023</v>
      </c>
      <c r="AJ27" s="104">
        <f t="shared" ref="AJ27:AJ52" si="29">U27-S27</f>
        <v>-0.46300000000000807</v>
      </c>
      <c r="AK27" s="104">
        <f>W27-U27</f>
        <v>-0.15899999999999181</v>
      </c>
      <c r="AL27" s="104">
        <f>Y27-W27</f>
        <v>-0.35999999999999943</v>
      </c>
      <c r="AM27" s="104">
        <f>AA27-Y27</f>
        <v>-0.23100000000000875</v>
      </c>
      <c r="AN27" s="104">
        <f>AB27-AA27</f>
        <v>-0.35299999999999443</v>
      </c>
      <c r="AO27" s="98">
        <f t="shared" si="4"/>
        <v>-0.37699999999999534</v>
      </c>
      <c r="AP27" s="98">
        <f t="shared" si="1"/>
        <v>-0.37819999999999965</v>
      </c>
      <c r="AQ27" s="105">
        <f t="shared" ref="AQ27:AQ35" si="30">N27-L27</f>
        <v>-0.47500000000000853</v>
      </c>
      <c r="AR27" s="104">
        <f t="shared" ref="AR27:AR35" si="31">P27-N27</f>
        <v>-0.45799999999999841</v>
      </c>
      <c r="AS27" s="104">
        <f t="shared" ref="AS27:AS52" si="32">R27-P27</f>
        <v>-0.46500000000000341</v>
      </c>
      <c r="AT27" s="104">
        <f t="shared" ref="AT27:AT52" si="33">T27-R27</f>
        <v>-0.39099999999999113</v>
      </c>
      <c r="AU27" s="104">
        <f>V27-T27</f>
        <v>-0.492999999999995</v>
      </c>
      <c r="AV27" s="104">
        <f>X27-V27</f>
        <v>-0.26900000000000546</v>
      </c>
      <c r="AW27" s="104">
        <f>Z27-X27</f>
        <v>-0.25499999999999545</v>
      </c>
      <c r="AX27" s="104">
        <f t="shared" si="24"/>
        <v>-0.31400000000000006</v>
      </c>
      <c r="AY27" s="104">
        <f t="shared" si="6"/>
        <v>-0.49399999999999977</v>
      </c>
      <c r="AZ27" s="104">
        <f t="shared" si="7"/>
        <v>-0.3927999999999997</v>
      </c>
    </row>
    <row r="28" spans="1:52" x14ac:dyDescent="0.3">
      <c r="A28" s="49">
        <v>134</v>
      </c>
      <c r="B28" s="158" t="s">
        <v>103</v>
      </c>
      <c r="C28" s="159"/>
      <c r="D28" s="160"/>
      <c r="E28" s="125" t="s">
        <v>97</v>
      </c>
      <c r="F28" s="100">
        <v>2011</v>
      </c>
      <c r="G28" s="98">
        <v>290.16399999999999</v>
      </c>
      <c r="H28" s="100">
        <v>2012</v>
      </c>
      <c r="I28" s="98">
        <v>290.245</v>
      </c>
      <c r="J28" s="100">
        <v>2021</v>
      </c>
      <c r="K28" s="98">
        <v>290.16399999999999</v>
      </c>
      <c r="L28" s="98">
        <v>290.245</v>
      </c>
      <c r="M28" s="98">
        <v>290.02600000000001</v>
      </c>
      <c r="N28" s="98">
        <v>290.09899999999999</v>
      </c>
      <c r="O28" s="98">
        <v>289.91800000000001</v>
      </c>
      <c r="P28" s="98">
        <v>290.07499999999999</v>
      </c>
      <c r="Q28" s="98">
        <v>289.98099999999999</v>
      </c>
      <c r="R28" s="101">
        <v>290.15800000000002</v>
      </c>
      <c r="S28" s="98">
        <v>290.09100000000001</v>
      </c>
      <c r="T28" s="98">
        <v>290.07100000000003</v>
      </c>
      <c r="U28" s="98">
        <v>289.98200000000003</v>
      </c>
      <c r="V28" s="98">
        <v>289.00799999999998</v>
      </c>
      <c r="W28" s="98"/>
      <c r="X28" s="98"/>
      <c r="Y28" s="98"/>
      <c r="Z28" s="98"/>
      <c r="AA28" s="98"/>
      <c r="AB28" s="98"/>
      <c r="AC28" s="98"/>
      <c r="AD28" s="98"/>
      <c r="AE28" s="98"/>
      <c r="AF28" s="98">
        <f t="shared" si="25"/>
        <v>-0.13799999999997681</v>
      </c>
      <c r="AG28" s="98">
        <f t="shared" si="26"/>
        <v>-0.10800000000000409</v>
      </c>
      <c r="AH28" s="104">
        <f t="shared" si="27"/>
        <v>6.2999999999988177E-2</v>
      </c>
      <c r="AI28" s="104">
        <f t="shared" si="28"/>
        <v>0.11000000000001364</v>
      </c>
      <c r="AJ28" s="104">
        <f t="shared" si="29"/>
        <v>-0.10899999999998045</v>
      </c>
      <c r="AK28" s="98"/>
      <c r="AL28" s="98"/>
      <c r="AM28" s="98"/>
      <c r="AN28" s="104"/>
      <c r="AO28" s="104"/>
      <c r="AP28" s="98"/>
      <c r="AQ28" s="105">
        <f t="shared" si="30"/>
        <v>-0.14600000000001501</v>
      </c>
      <c r="AR28" s="104">
        <f t="shared" si="31"/>
        <v>-2.4000000000000909E-2</v>
      </c>
      <c r="AS28" s="104">
        <f t="shared" si="32"/>
        <v>8.300000000002683E-2</v>
      </c>
      <c r="AT28" s="104">
        <f t="shared" si="33"/>
        <v>-8.6999999999989086E-2</v>
      </c>
      <c r="AU28" s="98"/>
      <c r="AV28" s="98"/>
      <c r="AW28" s="98"/>
      <c r="AX28" s="98"/>
      <c r="AY28" s="104"/>
      <c r="AZ28" s="104"/>
    </row>
    <row r="29" spans="1:52" x14ac:dyDescent="0.3">
      <c r="A29" s="97">
        <v>135</v>
      </c>
      <c r="B29" s="98">
        <v>2280213.4720000001</v>
      </c>
      <c r="C29" s="98">
        <v>6203601.9689999996</v>
      </c>
      <c r="D29" s="98">
        <v>233.458</v>
      </c>
      <c r="E29" s="99" t="s">
        <v>49</v>
      </c>
      <c r="F29" s="100">
        <v>2011</v>
      </c>
      <c r="G29" s="98">
        <v>236.80199999999999</v>
      </c>
      <c r="H29" s="100">
        <v>2012</v>
      </c>
      <c r="I29" s="98">
        <v>236.73</v>
      </c>
      <c r="J29" s="100">
        <v>2021</v>
      </c>
      <c r="K29" s="98">
        <v>236.80199999999999</v>
      </c>
      <c r="L29" s="98">
        <v>236.73</v>
      </c>
      <c r="M29" s="98">
        <v>236.59800000000001</v>
      </c>
      <c r="N29" s="98">
        <v>236.51499999999999</v>
      </c>
      <c r="O29" s="98">
        <v>236.14400000000001</v>
      </c>
      <c r="P29" s="98">
        <v>235.899</v>
      </c>
      <c r="Q29" s="98">
        <v>235.76900000000001</v>
      </c>
      <c r="R29" s="101">
        <v>235.50800000000001</v>
      </c>
      <c r="S29" s="98">
        <v>235.18700000000001</v>
      </c>
      <c r="T29" s="101">
        <v>235.03800000000001</v>
      </c>
      <c r="U29" s="98">
        <v>234.88900000000001</v>
      </c>
      <c r="V29" s="98">
        <v>234.74100000000001</v>
      </c>
      <c r="W29" s="98">
        <v>234.73</v>
      </c>
      <c r="X29" s="98">
        <v>234.66499999999999</v>
      </c>
      <c r="Y29" s="98">
        <v>234.262</v>
      </c>
      <c r="Z29" s="98">
        <v>234.24799999999999</v>
      </c>
      <c r="AA29" s="98">
        <v>234.12799999999999</v>
      </c>
      <c r="AB29" s="98">
        <v>233.91499999999999</v>
      </c>
      <c r="AC29" s="98">
        <v>233.78200000000001</v>
      </c>
      <c r="AD29" s="98">
        <v>233.458</v>
      </c>
      <c r="AE29" s="98">
        <v>233.31399999999999</v>
      </c>
      <c r="AF29" s="98">
        <f t="shared" si="25"/>
        <v>-0.20399999999997931</v>
      </c>
      <c r="AG29" s="98">
        <f t="shared" si="26"/>
        <v>-0.45400000000000773</v>
      </c>
      <c r="AH29" s="104">
        <f t="shared" si="27"/>
        <v>-0.375</v>
      </c>
      <c r="AI29" s="104">
        <f t="shared" si="28"/>
        <v>-0.58199999999999363</v>
      </c>
      <c r="AJ29" s="104">
        <f t="shared" si="29"/>
        <v>-0.29800000000000182</v>
      </c>
      <c r="AK29" s="104">
        <f>W29-U29</f>
        <v>-0.15900000000002024</v>
      </c>
      <c r="AL29" s="104">
        <f>Y29-W29</f>
        <v>-0.46799999999998931</v>
      </c>
      <c r="AM29" s="104">
        <f>AA29-Y29</f>
        <v>-0.13400000000001455</v>
      </c>
      <c r="AN29" s="104">
        <f>AB29-AA29</f>
        <v>-0.21299999999999386</v>
      </c>
      <c r="AO29" s="98">
        <f t="shared" si="4"/>
        <v>-0.45699999999999363</v>
      </c>
      <c r="AP29" s="98">
        <f t="shared" si="1"/>
        <v>-0.33439999999999942</v>
      </c>
      <c r="AQ29" s="105">
        <f t="shared" si="30"/>
        <v>-0.21500000000000341</v>
      </c>
      <c r="AR29" s="104">
        <f t="shared" si="31"/>
        <v>-0.61599999999998545</v>
      </c>
      <c r="AS29" s="104">
        <f t="shared" si="32"/>
        <v>-0.39099999999999113</v>
      </c>
      <c r="AT29" s="104">
        <f t="shared" si="33"/>
        <v>-0.46999999999999886</v>
      </c>
      <c r="AU29" s="104">
        <f>V29-T29</f>
        <v>-0.29699999999999704</v>
      </c>
      <c r="AV29" s="104">
        <f>X29-V29</f>
        <v>-7.6000000000021828E-2</v>
      </c>
      <c r="AW29" s="104">
        <f>Z29-X29</f>
        <v>-0.41700000000000159</v>
      </c>
      <c r="AX29" s="104">
        <f t="shared" ref="AX29:AX32" si="34">(AC29-Z29)/2</f>
        <v>-0.23299999999998988</v>
      </c>
      <c r="AY29" s="104">
        <f t="shared" si="6"/>
        <v>-0.46800000000001774</v>
      </c>
      <c r="AZ29" s="104">
        <f t="shared" si="7"/>
        <v>-0.34159999999999968</v>
      </c>
    </row>
    <row r="30" spans="1:52" x14ac:dyDescent="0.3">
      <c r="A30" s="97">
        <v>137</v>
      </c>
      <c r="B30" s="98">
        <v>2271706.4389999998</v>
      </c>
      <c r="C30" s="98">
        <v>6053044.1469999999</v>
      </c>
      <c r="D30" s="98">
        <v>99.867000000000004</v>
      </c>
      <c r="E30" s="99" t="s">
        <v>50</v>
      </c>
      <c r="F30" s="100">
        <v>2011</v>
      </c>
      <c r="G30" s="98">
        <v>101.086</v>
      </c>
      <c r="H30" s="100">
        <v>2012</v>
      </c>
      <c r="I30" s="98">
        <v>101.03700000000001</v>
      </c>
      <c r="J30" s="100">
        <v>2021</v>
      </c>
      <c r="K30" s="98">
        <v>101.086</v>
      </c>
      <c r="L30" s="98">
        <v>101.03700000000001</v>
      </c>
      <c r="M30" s="98">
        <v>100.983</v>
      </c>
      <c r="N30" s="98">
        <v>100.934</v>
      </c>
      <c r="O30" s="98">
        <v>100.7</v>
      </c>
      <c r="P30" s="98">
        <v>100.761</v>
      </c>
      <c r="Q30" s="98">
        <v>100.73699999999999</v>
      </c>
      <c r="R30" s="101">
        <v>100.709</v>
      </c>
      <c r="S30" s="98">
        <v>100.57899999999999</v>
      </c>
      <c r="T30" s="98">
        <v>100.492</v>
      </c>
      <c r="U30" s="98">
        <v>100.453</v>
      </c>
      <c r="V30" s="98">
        <v>100.443</v>
      </c>
      <c r="W30" s="98">
        <v>100.4</v>
      </c>
      <c r="X30" s="98">
        <v>100.315</v>
      </c>
      <c r="Y30" s="98">
        <v>100.285</v>
      </c>
      <c r="Z30" s="98">
        <v>100.22499999999999</v>
      </c>
      <c r="AA30" s="98">
        <v>100.2</v>
      </c>
      <c r="AB30" s="98">
        <v>100.09699999999999</v>
      </c>
      <c r="AC30" s="98">
        <v>100.002</v>
      </c>
      <c r="AD30" s="98">
        <v>99.867000000000004</v>
      </c>
      <c r="AE30" s="98">
        <v>99.808999999999997</v>
      </c>
      <c r="AF30" s="98">
        <f t="shared" si="25"/>
        <v>-0.10299999999999443</v>
      </c>
      <c r="AG30" s="98">
        <f t="shared" si="26"/>
        <v>-0.28300000000000125</v>
      </c>
      <c r="AH30" s="104">
        <f t="shared" si="27"/>
        <v>3.6999999999991928E-2</v>
      </c>
      <c r="AI30" s="104">
        <f t="shared" si="28"/>
        <v>-0.15800000000000125</v>
      </c>
      <c r="AJ30" s="104">
        <f t="shared" si="29"/>
        <v>-0.12599999999999056</v>
      </c>
      <c r="AK30" s="104">
        <f>W30-U30</f>
        <v>-5.2999999999997272E-2</v>
      </c>
      <c r="AL30" s="104">
        <f>Y30-W30</f>
        <v>-0.11500000000000909</v>
      </c>
      <c r="AM30" s="104">
        <f>AA30-Y30</f>
        <v>-8.4999999999993747E-2</v>
      </c>
      <c r="AN30" s="104">
        <f>AB30-AA30</f>
        <v>-0.10300000000000864</v>
      </c>
      <c r="AO30" s="98">
        <f t="shared" si="4"/>
        <v>-0.22999999999998977</v>
      </c>
      <c r="AP30" s="98">
        <f t="shared" si="1"/>
        <v>-0.12189999999999941</v>
      </c>
      <c r="AQ30" s="105">
        <f t="shared" si="30"/>
        <v>-0.10300000000000864</v>
      </c>
      <c r="AR30" s="104">
        <f t="shared" si="31"/>
        <v>-0.17300000000000182</v>
      </c>
      <c r="AS30" s="104">
        <f t="shared" si="32"/>
        <v>-5.1999999999992497E-2</v>
      </c>
      <c r="AT30" s="104">
        <f t="shared" si="33"/>
        <v>-0.21699999999999875</v>
      </c>
      <c r="AU30" s="104">
        <f>V30-T30</f>
        <v>-4.9000000000006594E-2</v>
      </c>
      <c r="AV30" s="104">
        <f>X30-V30</f>
        <v>-0.12800000000000011</v>
      </c>
      <c r="AW30" s="104">
        <f>Z30-X30</f>
        <v>-9.0000000000003411E-2</v>
      </c>
      <c r="AX30" s="104">
        <f t="shared" si="34"/>
        <v>-0.11149999999999949</v>
      </c>
      <c r="AY30" s="104">
        <f t="shared" si="6"/>
        <v>-0.19299999999999784</v>
      </c>
      <c r="AZ30" s="104">
        <f t="shared" si="7"/>
        <v>-0.12280000000000087</v>
      </c>
    </row>
    <row r="31" spans="1:52" x14ac:dyDescent="0.3">
      <c r="A31" s="97">
        <v>138</v>
      </c>
      <c r="B31" s="98">
        <v>2423374.0249999999</v>
      </c>
      <c r="C31" s="98">
        <v>5929562.8099999996</v>
      </c>
      <c r="D31" s="98">
        <v>238.833</v>
      </c>
      <c r="E31" s="99" t="s">
        <v>13</v>
      </c>
      <c r="F31" s="100">
        <v>2011</v>
      </c>
      <c r="G31" s="98">
        <v>239.03299999999999</v>
      </c>
      <c r="H31" s="100">
        <v>2012</v>
      </c>
      <c r="I31" s="98">
        <v>238.999</v>
      </c>
      <c r="J31" s="100">
        <v>2021</v>
      </c>
      <c r="K31" s="98">
        <v>239.03299999999999</v>
      </c>
      <c r="L31" s="98">
        <v>238.999</v>
      </c>
      <c r="M31" s="98">
        <v>239.035</v>
      </c>
      <c r="N31" s="98">
        <v>238.90600000000001</v>
      </c>
      <c r="O31" s="98">
        <v>238.804</v>
      </c>
      <c r="P31" s="98">
        <v>239.28299999999999</v>
      </c>
      <c r="Q31" s="98">
        <v>239.16499999999999</v>
      </c>
      <c r="R31" s="101">
        <v>239.072</v>
      </c>
      <c r="S31" s="98">
        <v>239.001</v>
      </c>
      <c r="T31" s="101">
        <v>238.93600000000001</v>
      </c>
      <c r="U31" s="98">
        <v>239.047</v>
      </c>
      <c r="V31" s="98">
        <v>239.10300000000001</v>
      </c>
      <c r="W31" s="98">
        <v>238.95</v>
      </c>
      <c r="X31" s="98">
        <v>238.82599999999999</v>
      </c>
      <c r="Y31" s="98">
        <v>238.905</v>
      </c>
      <c r="Z31" s="98">
        <v>238.833</v>
      </c>
      <c r="AA31" s="98">
        <v>239.03299999999999</v>
      </c>
      <c r="AB31" s="98">
        <v>238.92500000000001</v>
      </c>
      <c r="AC31" s="98">
        <v>238.839</v>
      </c>
      <c r="AD31" s="98">
        <v>238.833</v>
      </c>
      <c r="AE31" s="98">
        <v>238.77</v>
      </c>
      <c r="AF31" s="98">
        <f t="shared" si="25"/>
        <v>2.0000000000095497E-3</v>
      </c>
      <c r="AG31" s="98">
        <f t="shared" si="26"/>
        <v>-0.23099999999999454</v>
      </c>
      <c r="AH31" s="104">
        <f t="shared" si="27"/>
        <v>0.36099999999999</v>
      </c>
      <c r="AI31" s="104">
        <f t="shared" si="28"/>
        <v>-0.16399999999998727</v>
      </c>
      <c r="AJ31" s="104">
        <f t="shared" si="29"/>
        <v>4.5999999999992269E-2</v>
      </c>
      <c r="AK31" s="104">
        <f>W31-U31</f>
        <v>-9.7000000000008413E-2</v>
      </c>
      <c r="AL31" s="104">
        <f>Y31-W31</f>
        <v>-4.4999999999987494E-2</v>
      </c>
      <c r="AM31" s="104">
        <f>AA31-Y31</f>
        <v>0.1279999999999859</v>
      </c>
      <c r="AN31" s="104">
        <f>AB31-AA31</f>
        <v>-0.10799999999997567</v>
      </c>
      <c r="AO31" s="98">
        <f t="shared" si="4"/>
        <v>-9.200000000001296E-2</v>
      </c>
      <c r="AP31" s="98">
        <f t="shared" si="1"/>
        <v>-1.9999999999998862E-2</v>
      </c>
      <c r="AQ31" s="105">
        <f t="shared" si="30"/>
        <v>-9.2999999999989313E-2</v>
      </c>
      <c r="AR31" s="104">
        <f t="shared" si="31"/>
        <v>0.37699999999998113</v>
      </c>
      <c r="AS31" s="104">
        <f t="shared" si="32"/>
        <v>-0.21099999999998431</v>
      </c>
      <c r="AT31" s="104">
        <f t="shared" si="33"/>
        <v>-0.13599999999999568</v>
      </c>
      <c r="AU31" s="104">
        <f>V31-T31</f>
        <v>0.16700000000000159</v>
      </c>
      <c r="AV31" s="104">
        <f>X31-V31</f>
        <v>-0.27700000000001523</v>
      </c>
      <c r="AW31" s="104">
        <f>Z31-X31</f>
        <v>7.0000000000050022E-3</v>
      </c>
      <c r="AX31" s="104">
        <f t="shared" si="34"/>
        <v>3.0000000000001137E-3</v>
      </c>
      <c r="AY31" s="104">
        <f t="shared" si="6"/>
        <v>-6.8999999999988404E-2</v>
      </c>
      <c r="AZ31" s="104">
        <f t="shared" si="7"/>
        <v>-2.2899999999998498E-2</v>
      </c>
    </row>
    <row r="32" spans="1:52" x14ac:dyDescent="0.3">
      <c r="A32" s="97">
        <v>139</v>
      </c>
      <c r="B32" s="98">
        <v>2099649.656</v>
      </c>
      <c r="C32" s="98">
        <v>6250235.0829999996</v>
      </c>
      <c r="D32" s="98">
        <v>184.95599999999999</v>
      </c>
      <c r="E32" s="99" t="s">
        <v>14</v>
      </c>
      <c r="F32" s="100">
        <v>2011</v>
      </c>
      <c r="G32" s="98">
        <v>187.179</v>
      </c>
      <c r="H32" s="100">
        <v>2012</v>
      </c>
      <c r="I32" s="98">
        <v>187.05500000000001</v>
      </c>
      <c r="J32" s="100">
        <v>2021</v>
      </c>
      <c r="K32" s="98">
        <v>187.179</v>
      </c>
      <c r="L32" s="98">
        <v>187.05500000000001</v>
      </c>
      <c r="M32" s="98">
        <v>186.98099999999999</v>
      </c>
      <c r="N32" s="98">
        <v>186.9</v>
      </c>
      <c r="O32" s="98">
        <v>186.53700000000001</v>
      </c>
      <c r="P32" s="98">
        <v>186.36199999999999</v>
      </c>
      <c r="Q32" s="98">
        <v>186.387</v>
      </c>
      <c r="R32" s="101">
        <v>186.286</v>
      </c>
      <c r="S32" s="98">
        <v>186.13</v>
      </c>
      <c r="T32" s="98">
        <v>186.017</v>
      </c>
      <c r="U32" s="98">
        <v>185.83199999999999</v>
      </c>
      <c r="V32" s="98">
        <v>185.83699999999999</v>
      </c>
      <c r="W32" s="98">
        <v>185.76</v>
      </c>
      <c r="X32" s="98">
        <v>185.76300000000001</v>
      </c>
      <c r="Y32" s="98">
        <v>185.61699999999999</v>
      </c>
      <c r="Z32" s="98">
        <v>185.57900000000001</v>
      </c>
      <c r="AA32" s="98">
        <v>185.48699999999999</v>
      </c>
      <c r="AB32" s="98">
        <v>185.33600000000001</v>
      </c>
      <c r="AC32" s="98">
        <v>185.321</v>
      </c>
      <c r="AD32" s="98">
        <v>184.95599999999999</v>
      </c>
      <c r="AE32" s="98">
        <v>184.87</v>
      </c>
      <c r="AF32" s="98">
        <f t="shared" si="25"/>
        <v>-0.1980000000000075</v>
      </c>
      <c r="AG32" s="98">
        <f t="shared" si="26"/>
        <v>-0.4439999999999884</v>
      </c>
      <c r="AH32" s="104">
        <f t="shared" si="27"/>
        <v>-0.15000000000000568</v>
      </c>
      <c r="AI32" s="104">
        <f t="shared" si="28"/>
        <v>-0.257000000000005</v>
      </c>
      <c r="AJ32" s="104">
        <f t="shared" si="29"/>
        <v>-0.29800000000000182</v>
      </c>
      <c r="AK32" s="104">
        <f>W32-U32</f>
        <v>-7.2000000000002728E-2</v>
      </c>
      <c r="AL32" s="104">
        <f>Y32-W32</f>
        <v>-0.14300000000000068</v>
      </c>
      <c r="AM32" s="104">
        <f>AA32-Y32</f>
        <v>-0.12999999999999545</v>
      </c>
      <c r="AN32" s="104">
        <f>AB32-AA32</f>
        <v>-0.15099999999998204</v>
      </c>
      <c r="AO32" s="98">
        <f t="shared" si="4"/>
        <v>-0.38000000000002387</v>
      </c>
      <c r="AP32" s="98">
        <f t="shared" si="1"/>
        <v>-0.22230000000000133</v>
      </c>
      <c r="AQ32" s="105">
        <f t="shared" si="30"/>
        <v>-0.15500000000000114</v>
      </c>
      <c r="AR32" s="104">
        <f t="shared" si="31"/>
        <v>-0.53800000000001091</v>
      </c>
      <c r="AS32" s="104">
        <f t="shared" si="32"/>
        <v>-7.5999999999993406E-2</v>
      </c>
      <c r="AT32" s="104">
        <f t="shared" si="33"/>
        <v>-0.26900000000000546</v>
      </c>
      <c r="AU32" s="104">
        <f>V32-T32</f>
        <v>-0.18000000000000682</v>
      </c>
      <c r="AV32" s="104">
        <f>X32-V32</f>
        <v>-7.3999999999983856E-2</v>
      </c>
      <c r="AW32" s="104">
        <f>Z32-X32</f>
        <v>-0.1839999999999975</v>
      </c>
      <c r="AX32" s="104">
        <f t="shared" si="34"/>
        <v>-0.12900000000000489</v>
      </c>
      <c r="AY32" s="104">
        <f t="shared" si="6"/>
        <v>-0.45099999999999341</v>
      </c>
      <c r="AZ32" s="104">
        <f t="shared" si="7"/>
        <v>-0.21850000000000022</v>
      </c>
    </row>
    <row r="33" spans="1:52" x14ac:dyDescent="0.3">
      <c r="A33" s="49">
        <v>140</v>
      </c>
      <c r="B33" s="158" t="s">
        <v>103</v>
      </c>
      <c r="C33" s="159"/>
      <c r="D33" s="160"/>
      <c r="E33" s="125" t="s">
        <v>15</v>
      </c>
      <c r="F33" s="100">
        <v>2011</v>
      </c>
      <c r="G33" s="98">
        <v>292.58199999999999</v>
      </c>
      <c r="H33" s="100">
        <v>2012</v>
      </c>
      <c r="I33" s="98">
        <v>292.62299999999999</v>
      </c>
      <c r="J33" s="100">
        <v>2021</v>
      </c>
      <c r="K33" s="98">
        <v>292.58199999999999</v>
      </c>
      <c r="L33" s="98">
        <v>292.62299999999999</v>
      </c>
      <c r="M33" s="98">
        <v>292.50799999999998</v>
      </c>
      <c r="N33" s="98">
        <v>292.577</v>
      </c>
      <c r="O33" s="98">
        <v>292.27</v>
      </c>
      <c r="P33" s="98">
        <v>292.44799999999998</v>
      </c>
      <c r="Q33" s="98">
        <v>292.39299999999997</v>
      </c>
      <c r="R33" s="101">
        <v>292.49200000000002</v>
      </c>
      <c r="S33" s="98">
        <v>292.44600000000003</v>
      </c>
      <c r="T33" s="101">
        <v>292.42599999999999</v>
      </c>
      <c r="U33" s="98">
        <v>292.35599999999999</v>
      </c>
      <c r="V33" s="98">
        <v>293.67</v>
      </c>
      <c r="W33" s="98"/>
      <c r="X33" s="98"/>
      <c r="Y33" s="98"/>
      <c r="Z33" s="98"/>
      <c r="AA33" s="98"/>
      <c r="AB33" s="98"/>
      <c r="AC33" s="98"/>
      <c r="AD33" s="98"/>
      <c r="AE33" s="98"/>
      <c r="AF33" s="98">
        <f t="shared" si="25"/>
        <v>-7.4000000000012278E-2</v>
      </c>
      <c r="AG33" s="98">
        <f t="shared" si="26"/>
        <v>-0.23799999999999955</v>
      </c>
      <c r="AH33" s="104">
        <f t="shared" si="27"/>
        <v>0.12299999999999045</v>
      </c>
      <c r="AI33" s="104">
        <f t="shared" si="28"/>
        <v>5.3000000000054115E-2</v>
      </c>
      <c r="AJ33" s="104">
        <f t="shared" si="29"/>
        <v>-9.0000000000031832E-2</v>
      </c>
      <c r="AK33" s="98"/>
      <c r="AL33" s="98"/>
      <c r="AM33" s="98"/>
      <c r="AN33" s="104"/>
      <c r="AO33" s="104"/>
      <c r="AP33" s="98"/>
      <c r="AQ33" s="105">
        <f t="shared" si="30"/>
        <v>-4.5999999999992269E-2</v>
      </c>
      <c r="AR33" s="104">
        <f t="shared" si="31"/>
        <v>-0.1290000000000191</v>
      </c>
      <c r="AS33" s="104">
        <f t="shared" si="32"/>
        <v>4.4000000000039563E-2</v>
      </c>
      <c r="AT33" s="104">
        <f t="shared" si="33"/>
        <v>-6.6000000000030923E-2</v>
      </c>
      <c r="AU33" s="98"/>
      <c r="AV33" s="98"/>
      <c r="AW33" s="98"/>
      <c r="AX33" s="98"/>
      <c r="AY33" s="104"/>
      <c r="AZ33" s="104"/>
    </row>
    <row r="34" spans="1:52" x14ac:dyDescent="0.3">
      <c r="A34" s="97">
        <v>141</v>
      </c>
      <c r="B34" s="98">
        <v>2207496.7519999999</v>
      </c>
      <c r="C34" s="98">
        <v>6274591.8269999996</v>
      </c>
      <c r="D34" s="98">
        <v>284.62299999999999</v>
      </c>
      <c r="E34" s="99" t="s">
        <v>63</v>
      </c>
      <c r="F34" s="100">
        <v>2011</v>
      </c>
      <c r="G34" s="98">
        <v>285.55399999999997</v>
      </c>
      <c r="H34" s="100">
        <v>2012</v>
      </c>
      <c r="I34" s="98">
        <v>285.52199999999999</v>
      </c>
      <c r="J34" s="100">
        <v>2021</v>
      </c>
      <c r="K34" s="98">
        <v>285.55399999999997</v>
      </c>
      <c r="L34" s="98">
        <v>285.52199999999999</v>
      </c>
      <c r="M34" s="98">
        <v>285.37799999999999</v>
      </c>
      <c r="N34" s="98">
        <v>285.48599999999999</v>
      </c>
      <c r="O34" s="98">
        <v>285.17099999999999</v>
      </c>
      <c r="P34" s="98">
        <v>285.20499999999998</v>
      </c>
      <c r="Q34" s="98">
        <v>285.21800000000002</v>
      </c>
      <c r="R34" s="101">
        <v>285.34399999999999</v>
      </c>
      <c r="S34" s="98">
        <v>285.20600000000002</v>
      </c>
      <c r="T34" s="98">
        <v>285.149</v>
      </c>
      <c r="U34" s="98">
        <v>285.10700000000003</v>
      </c>
      <c r="V34" s="98">
        <v>285.07900000000001</v>
      </c>
      <c r="W34" s="98">
        <v>285.08</v>
      </c>
      <c r="X34" s="98">
        <v>285.08800000000002</v>
      </c>
      <c r="Y34" s="98">
        <v>284.86799999999999</v>
      </c>
      <c r="Z34" s="98">
        <v>284.92899999999997</v>
      </c>
      <c r="AA34" s="98">
        <v>284.822</v>
      </c>
      <c r="AB34" s="98">
        <v>284.79599999999999</v>
      </c>
      <c r="AC34" s="98">
        <v>284.76299999999998</v>
      </c>
      <c r="AD34" s="98">
        <v>284.62299999999999</v>
      </c>
      <c r="AE34" s="98">
        <v>284.68799999999999</v>
      </c>
      <c r="AF34" s="98">
        <f t="shared" si="25"/>
        <v>-0.17599999999998772</v>
      </c>
      <c r="AG34" s="98">
        <f t="shared" si="26"/>
        <v>-0.20699999999999363</v>
      </c>
      <c r="AH34" s="104">
        <f t="shared" si="27"/>
        <v>4.7000000000025466E-2</v>
      </c>
      <c r="AI34" s="104">
        <f t="shared" si="28"/>
        <v>-1.2000000000000455E-2</v>
      </c>
      <c r="AJ34" s="104">
        <f t="shared" si="29"/>
        <v>-9.8999999999989541E-2</v>
      </c>
      <c r="AK34" s="104">
        <f t="shared" ref="AK34:AK52" si="35">W34-U34</f>
        <v>-2.7000000000043656E-2</v>
      </c>
      <c r="AL34" s="104">
        <f t="shared" ref="AL34:AL62" si="36">Y34-W34</f>
        <v>-0.21199999999998909</v>
      </c>
      <c r="AM34" s="104">
        <f t="shared" ref="AM34:AM62" si="37">AA34-Y34</f>
        <v>-4.5999999999992269E-2</v>
      </c>
      <c r="AN34" s="104">
        <f t="shared" ref="AN34:AN62" si="38">AB34-AA34</f>
        <v>-2.6000000000010459E-2</v>
      </c>
      <c r="AO34" s="98">
        <f t="shared" si="4"/>
        <v>-0.17300000000000182</v>
      </c>
      <c r="AP34" s="98">
        <f t="shared" si="1"/>
        <v>-9.3099999999998323E-2</v>
      </c>
      <c r="AQ34" s="105">
        <f t="shared" si="30"/>
        <v>-3.6000000000001364E-2</v>
      </c>
      <c r="AR34" s="104">
        <f t="shared" si="31"/>
        <v>-0.28100000000000591</v>
      </c>
      <c r="AS34" s="104">
        <f t="shared" si="32"/>
        <v>0.13900000000001</v>
      </c>
      <c r="AT34" s="104">
        <f t="shared" si="33"/>
        <v>-0.19499999999999318</v>
      </c>
      <c r="AU34" s="104">
        <f t="shared" ref="AU34:AU52" si="39">V34-T34</f>
        <v>-6.9999999999993179E-2</v>
      </c>
      <c r="AV34" s="104">
        <f t="shared" ref="AV34:AV52" si="40">X34-V34</f>
        <v>9.0000000000145519E-3</v>
      </c>
      <c r="AW34" s="104">
        <f t="shared" ref="AW34:AW65" si="41">Z34-X34</f>
        <v>-0.15900000000004866</v>
      </c>
      <c r="AX34" s="104">
        <f t="shared" ref="AX34:AX77" si="42">(AC34-Z34)/2</f>
        <v>-8.2999999999998408E-2</v>
      </c>
      <c r="AY34" s="104">
        <f t="shared" si="6"/>
        <v>-7.4999999999988631E-2</v>
      </c>
      <c r="AZ34" s="104">
        <f t="shared" si="7"/>
        <v>-8.3400000000000321E-2</v>
      </c>
    </row>
    <row r="35" spans="1:52" x14ac:dyDescent="0.3">
      <c r="A35" s="97">
        <v>142</v>
      </c>
      <c r="B35" s="98">
        <v>2239184.352</v>
      </c>
      <c r="C35" s="98">
        <v>6329798.0870000003</v>
      </c>
      <c r="D35" s="98">
        <v>430.34199999999998</v>
      </c>
      <c r="E35" s="99" t="s">
        <v>51</v>
      </c>
      <c r="F35" s="100">
        <v>2011</v>
      </c>
      <c r="G35" s="98">
        <v>430.54199999999997</v>
      </c>
      <c r="H35" s="100">
        <v>2012</v>
      </c>
      <c r="I35" s="98">
        <v>430.66899999999998</v>
      </c>
      <c r="J35" s="100">
        <v>2021</v>
      </c>
      <c r="K35" s="98">
        <v>430.54199999999997</v>
      </c>
      <c r="L35" s="98">
        <v>430.66899999999998</v>
      </c>
      <c r="M35" s="98">
        <v>430.40699999999998</v>
      </c>
      <c r="N35" s="98">
        <v>430.548</v>
      </c>
      <c r="O35" s="98">
        <v>430.25799999999998</v>
      </c>
      <c r="P35" s="98">
        <v>430.44600000000003</v>
      </c>
      <c r="Q35" s="98">
        <v>430.28800000000001</v>
      </c>
      <c r="R35" s="101">
        <v>430.68599999999998</v>
      </c>
      <c r="S35" s="98">
        <v>430.54399999999998</v>
      </c>
      <c r="T35" s="101">
        <v>430.51600000000002</v>
      </c>
      <c r="U35" s="98">
        <v>430.46499999999997</v>
      </c>
      <c r="V35" s="98">
        <v>430.51299999999998</v>
      </c>
      <c r="W35" s="98">
        <v>430.49</v>
      </c>
      <c r="X35" s="98">
        <v>430.55099999999999</v>
      </c>
      <c r="Y35" s="98">
        <v>430.32</v>
      </c>
      <c r="Z35" s="98">
        <v>430.42599999999999</v>
      </c>
      <c r="AA35" s="98">
        <v>430.35199999999998</v>
      </c>
      <c r="AB35" s="98">
        <v>430.447</v>
      </c>
      <c r="AC35" s="98">
        <v>430.49</v>
      </c>
      <c r="AD35" s="98">
        <v>430.34199999999998</v>
      </c>
      <c r="AE35" s="98">
        <v>430.43200000000002</v>
      </c>
      <c r="AF35" s="98">
        <f t="shared" si="25"/>
        <v>-0.13499999999999091</v>
      </c>
      <c r="AG35" s="98">
        <f t="shared" si="26"/>
        <v>-0.14900000000000091</v>
      </c>
      <c r="AH35" s="104">
        <f t="shared" si="27"/>
        <v>3.0000000000029559E-2</v>
      </c>
      <c r="AI35" s="104">
        <f t="shared" si="28"/>
        <v>0.25599999999997181</v>
      </c>
      <c r="AJ35" s="104">
        <f t="shared" si="29"/>
        <v>-7.9000000000007731E-2</v>
      </c>
      <c r="AK35" s="104">
        <f t="shared" si="35"/>
        <v>2.5000000000034106E-2</v>
      </c>
      <c r="AL35" s="104">
        <f t="shared" si="36"/>
        <v>-0.17000000000001592</v>
      </c>
      <c r="AM35" s="104">
        <f t="shared" si="37"/>
        <v>3.1999999999982265E-2</v>
      </c>
      <c r="AN35" s="104">
        <f t="shared" si="38"/>
        <v>9.5000000000027285E-2</v>
      </c>
      <c r="AO35" s="98">
        <f t="shared" si="4"/>
        <v>-0.10500000000001819</v>
      </c>
      <c r="AP35" s="98">
        <f t="shared" si="1"/>
        <v>-1.9999999999998862E-2</v>
      </c>
      <c r="AQ35" s="105">
        <f t="shared" si="30"/>
        <v>-0.1209999999999809</v>
      </c>
      <c r="AR35" s="104">
        <f t="shared" si="31"/>
        <v>-0.10199999999997544</v>
      </c>
      <c r="AS35" s="104">
        <f t="shared" si="32"/>
        <v>0.23999999999995225</v>
      </c>
      <c r="AT35" s="104">
        <f t="shared" si="33"/>
        <v>-0.16999999999995907</v>
      </c>
      <c r="AU35" s="104">
        <f t="shared" si="39"/>
        <v>-3.0000000000427463E-3</v>
      </c>
      <c r="AV35" s="104">
        <f t="shared" si="40"/>
        <v>3.8000000000010914E-2</v>
      </c>
      <c r="AW35" s="104">
        <f t="shared" si="41"/>
        <v>-0.125</v>
      </c>
      <c r="AX35" s="104">
        <f t="shared" si="42"/>
        <v>3.2000000000010687E-2</v>
      </c>
      <c r="AY35" s="104">
        <f t="shared" si="6"/>
        <v>-5.7999999999992724E-2</v>
      </c>
      <c r="AZ35" s="104">
        <f t="shared" si="7"/>
        <v>-2.3699999999996633E-2</v>
      </c>
    </row>
    <row r="36" spans="1:52" x14ac:dyDescent="0.3">
      <c r="A36" s="97">
        <v>143</v>
      </c>
      <c r="B36" s="98">
        <v>2282575.6060000001</v>
      </c>
      <c r="C36" s="98">
        <v>6342236.517</v>
      </c>
      <c r="D36" s="98">
        <v>1107.1089999999999</v>
      </c>
      <c r="E36" s="99" t="s">
        <v>52</v>
      </c>
      <c r="F36" s="100">
        <v>2011</v>
      </c>
      <c r="G36" s="98">
        <v>1107.318</v>
      </c>
      <c r="H36" s="100">
        <v>2014</v>
      </c>
      <c r="I36" s="98">
        <v>1107.2439999999999</v>
      </c>
      <c r="J36" s="100">
        <v>2021</v>
      </c>
      <c r="K36" s="98">
        <v>1107.318</v>
      </c>
      <c r="L36" s="98"/>
      <c r="M36" s="98"/>
      <c r="N36" s="98"/>
      <c r="O36" s="98">
        <v>1107.068</v>
      </c>
      <c r="P36" s="98">
        <v>1107.2439999999999</v>
      </c>
      <c r="Q36" s="98">
        <v>1107.04</v>
      </c>
      <c r="R36" s="101">
        <v>1107.423</v>
      </c>
      <c r="S36" s="98">
        <v>1107.3</v>
      </c>
      <c r="T36" s="98">
        <v>1107.3409999999999</v>
      </c>
      <c r="U36" s="98">
        <v>1107.182</v>
      </c>
      <c r="V36" s="98">
        <v>1107.354</v>
      </c>
      <c r="W36" s="98">
        <v>1107.26</v>
      </c>
      <c r="X36" s="98">
        <v>1107.336</v>
      </c>
      <c r="Y36" s="98">
        <v>1107.056</v>
      </c>
      <c r="Z36" s="98">
        <v>1107.2149999999999</v>
      </c>
      <c r="AA36" s="98">
        <v>1107.1030000000001</v>
      </c>
      <c r="AB36" s="98">
        <v>1107.1969999999999</v>
      </c>
      <c r="AC36" s="98">
        <v>1107.403</v>
      </c>
      <c r="AD36" s="98">
        <v>1107.1089999999999</v>
      </c>
      <c r="AE36" s="98">
        <v>1107.1890000000001</v>
      </c>
      <c r="AF36" s="98"/>
      <c r="AG36" s="98"/>
      <c r="AH36" s="104">
        <f t="shared" si="27"/>
        <v>-2.8000000000020009E-2</v>
      </c>
      <c r="AI36" s="104">
        <f t="shared" si="28"/>
        <v>0.25999999999999091</v>
      </c>
      <c r="AJ36" s="104">
        <f t="shared" si="29"/>
        <v>-0.11799999999993815</v>
      </c>
      <c r="AK36" s="104">
        <f t="shared" si="35"/>
        <v>7.7999999999974534E-2</v>
      </c>
      <c r="AL36" s="104">
        <f t="shared" si="36"/>
        <v>-0.20399999999995089</v>
      </c>
      <c r="AM36" s="104">
        <f t="shared" si="37"/>
        <v>4.7000000000025466E-2</v>
      </c>
      <c r="AN36" s="104">
        <f t="shared" si="38"/>
        <v>9.3999999999823558E-2</v>
      </c>
      <c r="AO36" s="98">
        <f t="shared" si="4"/>
        <v>-8.7999999999965439E-2</v>
      </c>
      <c r="AP36" s="98">
        <f t="shared" si="1"/>
        <v>-2.0900000000006004E-2</v>
      </c>
      <c r="AQ36" s="105"/>
      <c r="AR36" s="103"/>
      <c r="AS36" s="104">
        <f t="shared" si="32"/>
        <v>0.17900000000008731</v>
      </c>
      <c r="AT36" s="104">
        <f t="shared" si="33"/>
        <v>-8.200000000010732E-2</v>
      </c>
      <c r="AU36" s="104">
        <f t="shared" si="39"/>
        <v>1.3000000000147338E-2</v>
      </c>
      <c r="AV36" s="104">
        <f t="shared" si="40"/>
        <v>-1.8000000000029104E-2</v>
      </c>
      <c r="AW36" s="104">
        <f t="shared" si="41"/>
        <v>-0.12100000000009459</v>
      </c>
      <c r="AX36" s="104">
        <f t="shared" si="42"/>
        <v>9.4000000000050932E-2</v>
      </c>
      <c r="AY36" s="104">
        <f t="shared" si="6"/>
        <v>-0.21399999999994179</v>
      </c>
      <c r="AZ36" s="104">
        <f t="shared" si="7"/>
        <v>-6.8749999999795364E-3</v>
      </c>
    </row>
    <row r="37" spans="1:52" x14ac:dyDescent="0.3">
      <c r="A37" s="97">
        <v>144</v>
      </c>
      <c r="B37" s="98">
        <v>2221992.4</v>
      </c>
      <c r="C37" s="98">
        <v>6029550.8559999997</v>
      </c>
      <c r="D37" s="98">
        <v>313.899</v>
      </c>
      <c r="E37" s="99" t="s">
        <v>16</v>
      </c>
      <c r="F37" s="100">
        <v>2011</v>
      </c>
      <c r="G37" s="98">
        <v>314.29199999999997</v>
      </c>
      <c r="H37" s="100">
        <v>2012</v>
      </c>
      <c r="I37" s="98">
        <v>314.30599999999998</v>
      </c>
      <c r="J37" s="100">
        <v>2021</v>
      </c>
      <c r="K37" s="98">
        <v>314.29199999999997</v>
      </c>
      <c r="L37" s="98">
        <v>314.30599999999998</v>
      </c>
      <c r="M37" s="98">
        <v>314.28699999999998</v>
      </c>
      <c r="N37" s="98">
        <v>314.29300000000001</v>
      </c>
      <c r="O37" s="98">
        <v>314.142</v>
      </c>
      <c r="P37" s="98">
        <v>314.10700000000003</v>
      </c>
      <c r="Q37" s="98">
        <v>314.26600000000002</v>
      </c>
      <c r="R37" s="101">
        <v>314.197</v>
      </c>
      <c r="S37" s="98">
        <v>314.14699999999999</v>
      </c>
      <c r="T37" s="101">
        <v>314.17200000000003</v>
      </c>
      <c r="U37" s="98">
        <v>314.113</v>
      </c>
      <c r="V37" s="98">
        <v>314.14299999999997</v>
      </c>
      <c r="W37" s="98">
        <v>314.08</v>
      </c>
      <c r="X37" s="98">
        <v>314.07400000000001</v>
      </c>
      <c r="Y37" s="98">
        <v>314.03899999999999</v>
      </c>
      <c r="Z37" s="98">
        <v>314.089</v>
      </c>
      <c r="AA37" s="98">
        <v>314.084</v>
      </c>
      <c r="AB37" s="102">
        <v>313.99200000000002</v>
      </c>
      <c r="AC37" s="98">
        <v>314.00200000000001</v>
      </c>
      <c r="AD37" s="98">
        <v>313.899</v>
      </c>
      <c r="AE37" s="98">
        <v>313.86799999999999</v>
      </c>
      <c r="AF37" s="98">
        <f>M37-K37</f>
        <v>-4.9999999999954525E-3</v>
      </c>
      <c r="AG37" s="98">
        <f>O37-M37</f>
        <v>-0.14499999999998181</v>
      </c>
      <c r="AH37" s="104">
        <f t="shared" si="27"/>
        <v>0.12400000000002365</v>
      </c>
      <c r="AI37" s="104">
        <f t="shared" si="28"/>
        <v>-0.11900000000002819</v>
      </c>
      <c r="AJ37" s="104">
        <f t="shared" si="29"/>
        <v>-3.3999999999991815E-2</v>
      </c>
      <c r="AK37" s="104">
        <f t="shared" si="35"/>
        <v>-3.3000000000015461E-2</v>
      </c>
      <c r="AL37" s="104">
        <f t="shared" si="36"/>
        <v>-4.0999999999996817E-2</v>
      </c>
      <c r="AM37" s="104">
        <f t="shared" si="37"/>
        <v>4.5000000000015916E-2</v>
      </c>
      <c r="AN37" s="104">
        <f t="shared" si="38"/>
        <v>-9.1999999999984539E-2</v>
      </c>
      <c r="AO37" s="98">
        <f t="shared" si="4"/>
        <v>-9.3000000000017735E-2</v>
      </c>
      <c r="AP37" s="98">
        <f t="shared" si="1"/>
        <v>-3.9299999999997226E-2</v>
      </c>
      <c r="AQ37" s="105">
        <f>N37-L37</f>
        <v>-1.2999999999976808E-2</v>
      </c>
      <c r="AR37" s="104">
        <f>P37-N37</f>
        <v>-0.18599999999997863</v>
      </c>
      <c r="AS37" s="104">
        <f t="shared" si="32"/>
        <v>8.9999999999974989E-2</v>
      </c>
      <c r="AT37" s="104">
        <f t="shared" si="33"/>
        <v>-2.4999999999977263E-2</v>
      </c>
      <c r="AU37" s="104">
        <f t="shared" si="39"/>
        <v>-2.9000000000053205E-2</v>
      </c>
      <c r="AV37" s="104">
        <f t="shared" si="40"/>
        <v>-6.8999999999959982E-2</v>
      </c>
      <c r="AW37" s="104">
        <f t="shared" si="41"/>
        <v>1.4999999999986358E-2</v>
      </c>
      <c r="AX37" s="104">
        <f t="shared" si="42"/>
        <v>-4.3499999999994543E-2</v>
      </c>
      <c r="AY37" s="104">
        <f t="shared" si="6"/>
        <v>-0.13400000000001455</v>
      </c>
      <c r="AZ37" s="104">
        <f t="shared" si="7"/>
        <v>-4.3799999999998819E-2</v>
      </c>
    </row>
    <row r="38" spans="1:52" x14ac:dyDescent="0.3">
      <c r="A38" s="82">
        <v>145</v>
      </c>
      <c r="B38" s="83">
        <v>2199134.5690000001</v>
      </c>
      <c r="C38" s="83">
        <v>6397420.4500000002</v>
      </c>
      <c r="D38" s="83">
        <v>494.11399999999998</v>
      </c>
      <c r="E38" s="96" t="s">
        <v>17</v>
      </c>
      <c r="F38" s="100">
        <v>2011</v>
      </c>
      <c r="G38" s="98">
        <v>494.28100000000001</v>
      </c>
      <c r="H38" s="100">
        <v>2012</v>
      </c>
      <c r="I38" s="98">
        <v>494.49299999999999</v>
      </c>
      <c r="J38" s="100">
        <v>2021</v>
      </c>
      <c r="K38" s="98">
        <v>494.28100000000001</v>
      </c>
      <c r="L38" s="98">
        <v>494.49299999999999</v>
      </c>
      <c r="M38" s="98">
        <v>494.20499999999998</v>
      </c>
      <c r="N38" s="98">
        <v>494.39800000000002</v>
      </c>
      <c r="O38" s="98">
        <v>494.02499999999998</v>
      </c>
      <c r="P38" s="98">
        <v>494.15699999999998</v>
      </c>
      <c r="Q38" s="98">
        <v>494.1</v>
      </c>
      <c r="R38" s="101">
        <v>494.42099999999999</v>
      </c>
      <c r="S38" s="98">
        <v>494.21800000000002</v>
      </c>
      <c r="T38" s="98">
        <v>494.28100000000001</v>
      </c>
      <c r="U38" s="98">
        <v>494.18200000000002</v>
      </c>
      <c r="V38" s="98">
        <v>494.23500000000001</v>
      </c>
      <c r="W38" s="98">
        <v>494.24</v>
      </c>
      <c r="X38" s="98">
        <v>494.334</v>
      </c>
      <c r="Y38" s="98">
        <v>494.10300000000001</v>
      </c>
      <c r="Z38" s="98">
        <v>494.20499999999998</v>
      </c>
      <c r="AA38" s="98">
        <v>494.16699999999997</v>
      </c>
      <c r="AB38" s="102">
        <v>494.21800000000002</v>
      </c>
      <c r="AC38" s="98">
        <v>494.38099999999997</v>
      </c>
      <c r="AD38" s="98">
        <v>494.11399999999998</v>
      </c>
      <c r="AE38" s="98">
        <v>494.14100000000002</v>
      </c>
      <c r="AF38" s="98">
        <f>M38-K38</f>
        <v>-7.6000000000021828E-2</v>
      </c>
      <c r="AG38" s="98">
        <f>O38-M38</f>
        <v>-0.18000000000000682</v>
      </c>
      <c r="AH38" s="104">
        <f t="shared" si="27"/>
        <v>7.5000000000045475E-2</v>
      </c>
      <c r="AI38" s="104">
        <f t="shared" si="28"/>
        <v>0.117999999999995</v>
      </c>
      <c r="AJ38" s="104">
        <f t="shared" si="29"/>
        <v>-3.6000000000001364E-2</v>
      </c>
      <c r="AK38" s="104">
        <f t="shared" si="35"/>
        <v>5.7999999999992724E-2</v>
      </c>
      <c r="AL38" s="104">
        <f t="shared" si="36"/>
        <v>-0.13700000000000045</v>
      </c>
      <c r="AM38" s="104">
        <f t="shared" si="37"/>
        <v>6.399999999996453E-2</v>
      </c>
      <c r="AN38" s="104">
        <f t="shared" si="38"/>
        <v>5.1000000000044565E-2</v>
      </c>
      <c r="AO38" s="98">
        <f t="shared" si="4"/>
        <v>-0.10400000000004184</v>
      </c>
      <c r="AP38" s="98">
        <f t="shared" si="1"/>
        <v>-1.6700000000003001E-2</v>
      </c>
      <c r="AQ38" s="105">
        <f>N38-L38</f>
        <v>-9.4999999999970441E-2</v>
      </c>
      <c r="AR38" s="104">
        <f>P38-N38</f>
        <v>-0.24100000000004229</v>
      </c>
      <c r="AS38" s="104">
        <f t="shared" si="32"/>
        <v>0.26400000000001</v>
      </c>
      <c r="AT38" s="104">
        <f t="shared" si="33"/>
        <v>-0.13999999999998636</v>
      </c>
      <c r="AU38" s="104">
        <f t="shared" si="39"/>
        <v>-4.5999999999992269E-2</v>
      </c>
      <c r="AV38" s="104">
        <f t="shared" si="40"/>
        <v>9.8999999999989541E-2</v>
      </c>
      <c r="AW38" s="104">
        <f t="shared" si="41"/>
        <v>-0.1290000000000191</v>
      </c>
      <c r="AX38" s="104">
        <f t="shared" si="42"/>
        <v>8.7999999999993861E-2</v>
      </c>
      <c r="AY38" s="104">
        <f t="shared" si="6"/>
        <v>-0.23999999999995225</v>
      </c>
      <c r="AZ38" s="104">
        <f t="shared" si="7"/>
        <v>-3.5199999999997546E-2</v>
      </c>
    </row>
    <row r="39" spans="1:52" x14ac:dyDescent="0.3">
      <c r="A39" s="82">
        <v>146</v>
      </c>
      <c r="B39" s="83">
        <v>2275034.34</v>
      </c>
      <c r="C39" s="83">
        <v>5961519.29</v>
      </c>
      <c r="D39" s="83">
        <v>285.33999999999997</v>
      </c>
      <c r="E39" s="96" t="s">
        <v>18</v>
      </c>
      <c r="F39" s="100">
        <v>2011</v>
      </c>
      <c r="G39" s="98">
        <v>285.34399999999999</v>
      </c>
      <c r="H39" s="100">
        <v>2012</v>
      </c>
      <c r="I39" s="98">
        <v>285.33999999999997</v>
      </c>
      <c r="J39" s="100">
        <v>2021</v>
      </c>
      <c r="K39" s="98">
        <v>285.34399999999999</v>
      </c>
      <c r="L39" s="98">
        <v>285.33999999999997</v>
      </c>
      <c r="M39" s="98">
        <v>285.33999999999997</v>
      </c>
      <c r="N39" s="98">
        <v>285.33999999999997</v>
      </c>
      <c r="O39" s="98">
        <v>285.33999999999997</v>
      </c>
      <c r="P39" s="98">
        <v>285.33999999999997</v>
      </c>
      <c r="Q39" s="98">
        <v>285.33999999999997</v>
      </c>
      <c r="R39" s="101">
        <v>285.33999999999997</v>
      </c>
      <c r="S39" s="98">
        <v>285.33999999999997</v>
      </c>
      <c r="T39" s="101">
        <v>285.33999999999997</v>
      </c>
      <c r="U39" s="98">
        <v>285.33999999999997</v>
      </c>
      <c r="V39" s="98">
        <v>285.33999999999997</v>
      </c>
      <c r="W39" s="98">
        <v>285.33999999999997</v>
      </c>
      <c r="X39" s="98">
        <v>285.33999999999997</v>
      </c>
      <c r="Y39" s="98">
        <v>285.33999999999997</v>
      </c>
      <c r="Z39" s="98">
        <v>285.33999999999997</v>
      </c>
      <c r="AA39" s="98">
        <v>285.33999999999997</v>
      </c>
      <c r="AB39" s="102">
        <v>285.33999999999997</v>
      </c>
      <c r="AC39" s="98">
        <v>285.33999999999997</v>
      </c>
      <c r="AD39" s="98">
        <v>285.33999999999997</v>
      </c>
      <c r="AE39" s="98">
        <v>285.33999999999997</v>
      </c>
      <c r="AF39" s="98">
        <f>M39-K39</f>
        <v>-4.0000000000190994E-3</v>
      </c>
      <c r="AG39" s="98">
        <f>O39-M39</f>
        <v>0</v>
      </c>
      <c r="AH39" s="104">
        <f t="shared" si="27"/>
        <v>0</v>
      </c>
      <c r="AI39" s="104">
        <f t="shared" si="28"/>
        <v>0</v>
      </c>
      <c r="AJ39" s="104">
        <f t="shared" si="29"/>
        <v>0</v>
      </c>
      <c r="AK39" s="104">
        <f t="shared" si="35"/>
        <v>0</v>
      </c>
      <c r="AL39" s="104">
        <f t="shared" si="36"/>
        <v>0</v>
      </c>
      <c r="AM39" s="104">
        <f t="shared" si="37"/>
        <v>0</v>
      </c>
      <c r="AN39" s="104">
        <f t="shared" si="38"/>
        <v>0</v>
      </c>
      <c r="AO39" s="98">
        <f t="shared" si="4"/>
        <v>0</v>
      </c>
      <c r="AP39" s="98">
        <f t="shared" si="1"/>
        <v>-4.0000000000190995E-4</v>
      </c>
      <c r="AQ39" s="105">
        <f>N39-L39</f>
        <v>0</v>
      </c>
      <c r="AR39" s="104">
        <f>P39-N39</f>
        <v>0</v>
      </c>
      <c r="AS39" s="104">
        <f t="shared" si="32"/>
        <v>0</v>
      </c>
      <c r="AT39" s="104">
        <f t="shared" si="33"/>
        <v>0</v>
      </c>
      <c r="AU39" s="104">
        <f t="shared" si="39"/>
        <v>0</v>
      </c>
      <c r="AV39" s="104">
        <f t="shared" si="40"/>
        <v>0</v>
      </c>
      <c r="AW39" s="104">
        <f t="shared" si="41"/>
        <v>0</v>
      </c>
      <c r="AX39" s="104">
        <f t="shared" si="42"/>
        <v>0</v>
      </c>
      <c r="AY39" s="104">
        <f t="shared" si="6"/>
        <v>0</v>
      </c>
      <c r="AZ39" s="104">
        <f t="shared" si="7"/>
        <v>0</v>
      </c>
    </row>
    <row r="40" spans="1:52" x14ac:dyDescent="0.3">
      <c r="A40" s="97">
        <v>147</v>
      </c>
      <c r="B40" s="98">
        <v>2238612.2790000001</v>
      </c>
      <c r="C40" s="98">
        <v>6104481.3590000002</v>
      </c>
      <c r="D40" s="98">
        <v>122.669</v>
      </c>
      <c r="E40" s="99" t="s">
        <v>19</v>
      </c>
      <c r="F40" s="100">
        <v>2011</v>
      </c>
      <c r="G40" s="98">
        <v>124.289</v>
      </c>
      <c r="H40" s="100">
        <v>2012</v>
      </c>
      <c r="I40" s="98">
        <v>124.197</v>
      </c>
      <c r="J40" s="100">
        <v>2021</v>
      </c>
      <c r="K40" s="98">
        <v>124.289</v>
      </c>
      <c r="L40" s="98">
        <v>124.197</v>
      </c>
      <c r="M40" s="98">
        <v>124.116</v>
      </c>
      <c r="N40" s="98">
        <v>124.02200000000001</v>
      </c>
      <c r="O40" s="98">
        <v>123.849</v>
      </c>
      <c r="P40" s="98">
        <v>123.873</v>
      </c>
      <c r="Q40" s="98">
        <v>123.867</v>
      </c>
      <c r="R40" s="101">
        <v>123.753</v>
      </c>
      <c r="S40" s="98">
        <v>123.586</v>
      </c>
      <c r="T40" s="98">
        <v>123.61499999999999</v>
      </c>
      <c r="U40" s="98">
        <v>123.437</v>
      </c>
      <c r="V40" s="98">
        <v>123.324</v>
      </c>
      <c r="W40" s="98">
        <v>123.33</v>
      </c>
      <c r="X40" s="98">
        <v>123.206</v>
      </c>
      <c r="Y40" s="98">
        <v>123.134</v>
      </c>
      <c r="Z40" s="98">
        <v>123.083</v>
      </c>
      <c r="AA40" s="98">
        <v>123.027</v>
      </c>
      <c r="AB40" s="102">
        <v>122.878</v>
      </c>
      <c r="AC40" s="98">
        <v>122.804</v>
      </c>
      <c r="AD40" s="98">
        <v>122.669</v>
      </c>
      <c r="AE40" s="98">
        <v>122.554</v>
      </c>
      <c r="AF40" s="98">
        <f>M40-K40</f>
        <v>-0.17300000000000182</v>
      </c>
      <c r="AG40" s="98">
        <f>O40-M40</f>
        <v>-0.26699999999999591</v>
      </c>
      <c r="AH40" s="104">
        <f t="shared" si="27"/>
        <v>1.8000000000000682E-2</v>
      </c>
      <c r="AI40" s="104">
        <f t="shared" si="28"/>
        <v>-0.28100000000000591</v>
      </c>
      <c r="AJ40" s="104">
        <f t="shared" si="29"/>
        <v>-0.14900000000000091</v>
      </c>
      <c r="AK40" s="104">
        <f t="shared" si="35"/>
        <v>-0.10699999999999932</v>
      </c>
      <c r="AL40" s="104">
        <f t="shared" si="36"/>
        <v>-0.19599999999999795</v>
      </c>
      <c r="AM40" s="104">
        <f t="shared" si="37"/>
        <v>-0.10699999999999932</v>
      </c>
      <c r="AN40" s="104">
        <f t="shared" si="38"/>
        <v>-0.14900000000000091</v>
      </c>
      <c r="AO40" s="98">
        <f t="shared" si="4"/>
        <v>-0.20900000000000318</v>
      </c>
      <c r="AP40" s="98">
        <f t="shared" si="1"/>
        <v>-0.16200000000000045</v>
      </c>
      <c r="AQ40" s="105">
        <f>N40-L40</f>
        <v>-0.17499999999999716</v>
      </c>
      <c r="AR40" s="104">
        <f>P40-N40</f>
        <v>-0.14900000000000091</v>
      </c>
      <c r="AS40" s="104">
        <f t="shared" si="32"/>
        <v>-0.12000000000000455</v>
      </c>
      <c r="AT40" s="104">
        <f t="shared" si="33"/>
        <v>-0.13800000000000523</v>
      </c>
      <c r="AU40" s="104">
        <f t="shared" si="39"/>
        <v>-0.29099999999999682</v>
      </c>
      <c r="AV40" s="104">
        <f t="shared" si="40"/>
        <v>-0.117999999999995</v>
      </c>
      <c r="AW40" s="104">
        <f t="shared" si="41"/>
        <v>-0.12300000000000466</v>
      </c>
      <c r="AX40" s="104">
        <f t="shared" si="42"/>
        <v>-0.13949999999999818</v>
      </c>
      <c r="AY40" s="104">
        <f t="shared" si="6"/>
        <v>-0.25</v>
      </c>
      <c r="AZ40" s="104">
        <f t="shared" si="7"/>
        <v>-0.16430000000000006</v>
      </c>
    </row>
    <row r="41" spans="1:52" x14ac:dyDescent="0.3">
      <c r="A41" s="97">
        <v>148</v>
      </c>
      <c r="B41" s="98">
        <v>2392467.4939999999</v>
      </c>
      <c r="C41" s="98">
        <v>6061625.6739999996</v>
      </c>
      <c r="D41" s="98">
        <v>133.94800000000001</v>
      </c>
      <c r="E41" s="99" t="s">
        <v>20</v>
      </c>
      <c r="F41" s="100">
        <v>2011</v>
      </c>
      <c r="G41" s="98">
        <v>134.35</v>
      </c>
      <c r="H41" s="100">
        <v>2012</v>
      </c>
      <c r="I41" s="98">
        <v>134.203</v>
      </c>
      <c r="J41" s="100">
        <v>2021</v>
      </c>
      <c r="K41" s="98">
        <v>134.35</v>
      </c>
      <c r="L41" s="98">
        <v>134.203</v>
      </c>
      <c r="M41" s="98">
        <v>134.21899999999999</v>
      </c>
      <c r="N41" s="98">
        <v>134.154</v>
      </c>
      <c r="O41" s="98">
        <v>133.98699999999999</v>
      </c>
      <c r="P41" s="98">
        <v>134.267</v>
      </c>
      <c r="Q41" s="98">
        <v>134.26599999999999</v>
      </c>
      <c r="R41" s="101">
        <v>134.215</v>
      </c>
      <c r="S41" s="98">
        <v>134.16999999999999</v>
      </c>
      <c r="T41" s="101">
        <v>134.114</v>
      </c>
      <c r="U41" s="98">
        <v>134.178</v>
      </c>
      <c r="V41" s="98">
        <v>134.172</v>
      </c>
      <c r="W41" s="98">
        <v>134.16</v>
      </c>
      <c r="X41" s="98">
        <v>133.99799999999999</v>
      </c>
      <c r="Y41" s="98">
        <v>134.02600000000001</v>
      </c>
      <c r="Z41" s="98">
        <v>134.072</v>
      </c>
      <c r="AA41" s="98">
        <v>134.11000000000001</v>
      </c>
      <c r="AB41" s="102">
        <v>134.06800000000001</v>
      </c>
      <c r="AC41" s="98">
        <v>133.90899999999999</v>
      </c>
      <c r="AD41" s="98">
        <v>133.94800000000001</v>
      </c>
      <c r="AE41" s="98">
        <v>133.94</v>
      </c>
      <c r="AF41" s="98">
        <f>M41-K41</f>
        <v>-0.13100000000000023</v>
      </c>
      <c r="AG41" s="98">
        <f>O41-M41</f>
        <v>-0.23199999999999932</v>
      </c>
      <c r="AH41" s="104">
        <f t="shared" si="27"/>
        <v>0.27899999999999636</v>
      </c>
      <c r="AI41" s="104">
        <f t="shared" si="28"/>
        <v>-9.6000000000003638E-2</v>
      </c>
      <c r="AJ41" s="104">
        <f t="shared" si="29"/>
        <v>8.0000000000097771E-3</v>
      </c>
      <c r="AK41" s="104">
        <f t="shared" si="35"/>
        <v>-1.8000000000000682E-2</v>
      </c>
      <c r="AL41" s="104">
        <f t="shared" si="36"/>
        <v>-0.13399999999998613</v>
      </c>
      <c r="AM41" s="104">
        <f t="shared" si="37"/>
        <v>8.4000000000003183E-2</v>
      </c>
      <c r="AN41" s="104">
        <f t="shared" si="38"/>
        <v>-4.2000000000001592E-2</v>
      </c>
      <c r="AO41" s="98">
        <f t="shared" si="4"/>
        <v>-0.12000000000000455</v>
      </c>
      <c r="AP41" s="98">
        <f t="shared" si="1"/>
        <v>-4.0199999999998681E-2</v>
      </c>
      <c r="AQ41" s="105">
        <f>N41-L41</f>
        <v>-4.9000000000006594E-2</v>
      </c>
      <c r="AR41" s="104">
        <f>P41-N41</f>
        <v>0.11299999999999955</v>
      </c>
      <c r="AS41" s="104">
        <f t="shared" si="32"/>
        <v>-5.1999999999992497E-2</v>
      </c>
      <c r="AT41" s="104">
        <f t="shared" si="33"/>
        <v>-0.10099999999999909</v>
      </c>
      <c r="AU41" s="104">
        <f t="shared" si="39"/>
        <v>5.7999999999992724E-2</v>
      </c>
      <c r="AV41" s="104">
        <f t="shared" si="40"/>
        <v>-0.17400000000000659</v>
      </c>
      <c r="AW41" s="104">
        <f t="shared" si="41"/>
        <v>7.4000000000012278E-2</v>
      </c>
      <c r="AX41" s="104">
        <f t="shared" si="42"/>
        <v>-8.1500000000005457E-2</v>
      </c>
      <c r="AY41" s="104">
        <f t="shared" si="6"/>
        <v>3.1000000000005912E-2</v>
      </c>
      <c r="AZ41" s="104">
        <f t="shared" si="7"/>
        <v>-2.6300000000000524E-2</v>
      </c>
    </row>
    <row r="42" spans="1:52" x14ac:dyDescent="0.3">
      <c r="A42" s="97">
        <v>150</v>
      </c>
      <c r="B42" s="98">
        <v>2376151.6949999998</v>
      </c>
      <c r="C42" s="98">
        <v>5971948.2230000002</v>
      </c>
      <c r="D42" s="98">
        <v>96.935000000000002</v>
      </c>
      <c r="E42" s="99" t="s">
        <v>21</v>
      </c>
      <c r="F42" s="100">
        <v>2011</v>
      </c>
      <c r="G42" s="98">
        <v>97.215999999999994</v>
      </c>
      <c r="H42" s="100">
        <v>2014</v>
      </c>
      <c r="I42" s="98">
        <v>97.313999999999993</v>
      </c>
      <c r="J42" s="100">
        <v>2021</v>
      </c>
      <c r="K42" s="98">
        <v>97.215999999999994</v>
      </c>
      <c r="L42" s="98"/>
      <c r="M42" s="98"/>
      <c r="N42" s="98"/>
      <c r="O42" s="98">
        <v>96.983999999999995</v>
      </c>
      <c r="P42" s="98">
        <v>97.313999999999993</v>
      </c>
      <c r="Q42" s="98">
        <v>97.227999999999994</v>
      </c>
      <c r="R42" s="101">
        <v>97.194000000000003</v>
      </c>
      <c r="S42" s="98">
        <v>97.156000000000006</v>
      </c>
      <c r="T42" s="98">
        <v>97.044499999999999</v>
      </c>
      <c r="U42" s="98">
        <v>97.224999999999994</v>
      </c>
      <c r="V42" s="98">
        <v>97.266999999999996</v>
      </c>
      <c r="W42" s="98">
        <v>97.26</v>
      </c>
      <c r="X42" s="98">
        <v>96.966999999999999</v>
      </c>
      <c r="Y42" s="98">
        <v>97.078000000000003</v>
      </c>
      <c r="Z42" s="98">
        <v>97.088999999999999</v>
      </c>
      <c r="AA42" s="98">
        <v>97.156999999999996</v>
      </c>
      <c r="AB42" s="102">
        <v>97.054000000000002</v>
      </c>
      <c r="AC42" s="98">
        <v>96.95</v>
      </c>
      <c r="AD42" s="98">
        <v>96.935000000000002</v>
      </c>
      <c r="AE42" s="98">
        <v>96.914000000000001</v>
      </c>
      <c r="AF42" s="98"/>
      <c r="AG42" s="98"/>
      <c r="AH42" s="104">
        <f t="shared" si="27"/>
        <v>0.24399999999999977</v>
      </c>
      <c r="AI42" s="104">
        <f t="shared" si="28"/>
        <v>-7.1999999999988518E-2</v>
      </c>
      <c r="AJ42" s="104">
        <f t="shared" si="29"/>
        <v>6.8999999999988404E-2</v>
      </c>
      <c r="AK42" s="104">
        <f t="shared" si="35"/>
        <v>3.50000000000108E-2</v>
      </c>
      <c r="AL42" s="104">
        <f t="shared" si="36"/>
        <v>-0.18200000000000216</v>
      </c>
      <c r="AM42" s="104">
        <f t="shared" si="37"/>
        <v>7.899999999999352E-2</v>
      </c>
      <c r="AN42" s="104">
        <f t="shared" si="38"/>
        <v>-0.10299999999999443</v>
      </c>
      <c r="AO42" s="98">
        <f t="shared" si="4"/>
        <v>-0.11899999999999977</v>
      </c>
      <c r="AP42" s="98">
        <f t="shared" si="1"/>
        <v>-2.8099999999999171E-2</v>
      </c>
      <c r="AQ42" s="105"/>
      <c r="AR42" s="103"/>
      <c r="AS42" s="104">
        <f t="shared" si="32"/>
        <v>-0.11999999999999034</v>
      </c>
      <c r="AT42" s="104">
        <f t="shared" si="33"/>
        <v>-0.1495000000000033</v>
      </c>
      <c r="AU42" s="104">
        <f t="shared" si="39"/>
        <v>0.22249999999999659</v>
      </c>
      <c r="AV42" s="104">
        <f t="shared" si="40"/>
        <v>-0.29999999999999716</v>
      </c>
      <c r="AW42" s="104">
        <f t="shared" si="41"/>
        <v>0.12199999999999989</v>
      </c>
      <c r="AX42" s="104">
        <f t="shared" si="42"/>
        <v>-6.9499999999997897E-2</v>
      </c>
      <c r="AY42" s="104">
        <f t="shared" si="6"/>
        <v>-3.6000000000001364E-2</v>
      </c>
      <c r="AZ42" s="104">
        <f t="shared" si="7"/>
        <v>-4.9999999999998934E-2</v>
      </c>
    </row>
    <row r="43" spans="1:52" x14ac:dyDescent="0.3">
      <c r="A43" s="97">
        <v>152</v>
      </c>
      <c r="B43" s="98">
        <v>2322364.165</v>
      </c>
      <c r="C43" s="98">
        <v>6025789.0789999999</v>
      </c>
      <c r="D43" s="98">
        <v>83.67</v>
      </c>
      <c r="E43" s="99" t="s">
        <v>22</v>
      </c>
      <c r="F43" s="100">
        <v>2011</v>
      </c>
      <c r="G43" s="98">
        <v>84.685000000000002</v>
      </c>
      <c r="H43" s="100">
        <v>2012</v>
      </c>
      <c r="I43" s="98">
        <v>84.647000000000006</v>
      </c>
      <c r="J43" s="100">
        <v>2021</v>
      </c>
      <c r="K43" s="98">
        <v>84.685000000000002</v>
      </c>
      <c r="L43" s="98">
        <v>84.647000000000006</v>
      </c>
      <c r="M43" s="98">
        <v>84.623000000000005</v>
      </c>
      <c r="N43" s="98">
        <v>84.653999999999996</v>
      </c>
      <c r="O43" s="98">
        <v>84.396000000000001</v>
      </c>
      <c r="P43" s="98">
        <v>84.674000000000007</v>
      </c>
      <c r="Q43" s="98">
        <v>84.606999999999999</v>
      </c>
      <c r="R43" s="101">
        <v>84.414000000000001</v>
      </c>
      <c r="S43" s="98">
        <v>84.122</v>
      </c>
      <c r="T43" s="101">
        <v>84.031999999999996</v>
      </c>
      <c r="U43" s="98">
        <v>84.055000000000007</v>
      </c>
      <c r="V43" s="98">
        <v>84.039000000000001</v>
      </c>
      <c r="W43" s="98">
        <v>84.06</v>
      </c>
      <c r="X43" s="98">
        <v>83.91</v>
      </c>
      <c r="Y43" s="98">
        <v>83.96</v>
      </c>
      <c r="Z43" s="98">
        <v>84.004000000000005</v>
      </c>
      <c r="AA43" s="98">
        <v>83.980999999999995</v>
      </c>
      <c r="AB43" s="102">
        <v>83.811999999999998</v>
      </c>
      <c r="AC43" s="98">
        <v>83.834999999999994</v>
      </c>
      <c r="AD43" s="98">
        <v>83.67</v>
      </c>
      <c r="AE43" s="98">
        <v>83.619</v>
      </c>
      <c r="AF43" s="98">
        <f t="shared" ref="AF43:AF52" si="43">M43-K43</f>
        <v>-6.1999999999997613E-2</v>
      </c>
      <c r="AG43" s="98">
        <f t="shared" ref="AG43:AG52" si="44">O43-M43</f>
        <v>-0.22700000000000387</v>
      </c>
      <c r="AH43" s="104">
        <f t="shared" si="27"/>
        <v>0.21099999999999852</v>
      </c>
      <c r="AI43" s="104">
        <f t="shared" si="28"/>
        <v>-0.48499999999999943</v>
      </c>
      <c r="AJ43" s="104">
        <f t="shared" si="29"/>
        <v>-6.6999999999993065E-2</v>
      </c>
      <c r="AK43" s="104">
        <f t="shared" si="35"/>
        <v>4.9999999999954525E-3</v>
      </c>
      <c r="AL43" s="104">
        <f t="shared" si="36"/>
        <v>-0.10000000000000853</v>
      </c>
      <c r="AM43" s="104">
        <f t="shared" si="37"/>
        <v>2.1000000000000796E-2</v>
      </c>
      <c r="AN43" s="104">
        <f t="shared" si="38"/>
        <v>-0.16899999999999693</v>
      </c>
      <c r="AO43" s="98">
        <f t="shared" si="4"/>
        <v>-0.14199999999999591</v>
      </c>
      <c r="AP43" s="98">
        <f t="shared" si="1"/>
        <v>-0.10150000000000006</v>
      </c>
      <c r="AQ43" s="105">
        <f t="shared" ref="AQ43:AQ52" si="45">N43-L43</f>
        <v>6.9999999999907914E-3</v>
      </c>
      <c r="AR43" s="104">
        <f t="shared" ref="AR43:AR52" si="46">P43-N43</f>
        <v>2.0000000000010232E-2</v>
      </c>
      <c r="AS43" s="104">
        <f t="shared" si="32"/>
        <v>-0.26000000000000512</v>
      </c>
      <c r="AT43" s="104">
        <f t="shared" si="33"/>
        <v>-0.382000000000005</v>
      </c>
      <c r="AU43" s="104">
        <f t="shared" si="39"/>
        <v>7.0000000000050022E-3</v>
      </c>
      <c r="AV43" s="104">
        <f t="shared" si="40"/>
        <v>-0.12900000000000489</v>
      </c>
      <c r="AW43" s="104">
        <f t="shared" si="41"/>
        <v>9.4000000000008299E-2</v>
      </c>
      <c r="AX43" s="104">
        <f t="shared" si="42"/>
        <v>-8.4500000000005571E-2</v>
      </c>
      <c r="AY43" s="104">
        <f t="shared" si="6"/>
        <v>-0.21599999999999397</v>
      </c>
      <c r="AZ43" s="104">
        <f t="shared" si="7"/>
        <v>-0.10280000000000059</v>
      </c>
    </row>
    <row r="44" spans="1:52" x14ac:dyDescent="0.3">
      <c r="A44" s="97">
        <v>153</v>
      </c>
      <c r="B44" s="98">
        <v>2183877.324</v>
      </c>
      <c r="C44" s="98">
        <v>6142113.6390000004</v>
      </c>
      <c r="D44" s="98">
        <v>153.71100000000001</v>
      </c>
      <c r="E44" s="99" t="s">
        <v>53</v>
      </c>
      <c r="F44" s="100">
        <v>2011</v>
      </c>
      <c r="G44" s="98">
        <v>154.80000000000001</v>
      </c>
      <c r="H44" s="100">
        <v>2012</v>
      </c>
      <c r="I44" s="98">
        <v>154.779</v>
      </c>
      <c r="J44" s="100">
        <v>2021</v>
      </c>
      <c r="K44" s="98">
        <v>154.80000000000001</v>
      </c>
      <c r="L44" s="98">
        <v>154.779</v>
      </c>
      <c r="M44" s="98">
        <v>154.755</v>
      </c>
      <c r="N44" s="98">
        <v>154.77099999999999</v>
      </c>
      <c r="O44" s="98">
        <v>154.43199999999999</v>
      </c>
      <c r="P44" s="98">
        <v>154.47800000000001</v>
      </c>
      <c r="Q44" s="98">
        <v>154.535</v>
      </c>
      <c r="R44" s="101">
        <v>154.447</v>
      </c>
      <c r="S44" s="98">
        <v>154.27000000000001</v>
      </c>
      <c r="T44" s="98">
        <v>154.38999999999999</v>
      </c>
      <c r="U44" s="98">
        <v>154.14599999999999</v>
      </c>
      <c r="V44" s="98">
        <v>154.21</v>
      </c>
      <c r="W44" s="98">
        <v>154.16999999999999</v>
      </c>
      <c r="X44" s="98">
        <v>154.26300000000001</v>
      </c>
      <c r="Y44" s="98">
        <v>154.07</v>
      </c>
      <c r="Z44" s="98">
        <v>154.131</v>
      </c>
      <c r="AA44" s="98">
        <v>154.02500000000001</v>
      </c>
      <c r="AB44" s="102">
        <v>153.91999999999999</v>
      </c>
      <c r="AC44" s="98">
        <v>153.917</v>
      </c>
      <c r="AD44" s="98">
        <v>153.71100000000001</v>
      </c>
      <c r="AE44" s="98">
        <v>153.66499999999999</v>
      </c>
      <c r="AF44" s="98">
        <f t="shared" si="43"/>
        <v>-4.5000000000015916E-2</v>
      </c>
      <c r="AG44" s="98">
        <f t="shared" si="44"/>
        <v>-0.3230000000000075</v>
      </c>
      <c r="AH44" s="104">
        <f t="shared" si="27"/>
        <v>0.10300000000000864</v>
      </c>
      <c r="AI44" s="104">
        <f t="shared" si="28"/>
        <v>-0.26499999999998636</v>
      </c>
      <c r="AJ44" s="104">
        <f t="shared" si="29"/>
        <v>-0.12400000000002365</v>
      </c>
      <c r="AK44" s="104">
        <f t="shared" si="35"/>
        <v>2.4000000000000909E-2</v>
      </c>
      <c r="AL44" s="104">
        <f t="shared" si="36"/>
        <v>-9.9999999999994316E-2</v>
      </c>
      <c r="AM44" s="104">
        <f t="shared" si="37"/>
        <v>-4.4999999999987494E-2</v>
      </c>
      <c r="AN44" s="104">
        <f t="shared" si="38"/>
        <v>-0.10500000000001819</v>
      </c>
      <c r="AO44" s="98">
        <f t="shared" si="4"/>
        <v>-0.20899999999997476</v>
      </c>
      <c r="AP44" s="98">
        <f t="shared" si="1"/>
        <v>-0.10889999999999986</v>
      </c>
      <c r="AQ44" s="105">
        <f t="shared" si="45"/>
        <v>-8.0000000000097771E-3</v>
      </c>
      <c r="AR44" s="104">
        <f t="shared" si="46"/>
        <v>-0.29299999999997794</v>
      </c>
      <c r="AS44" s="104">
        <f t="shared" si="32"/>
        <v>-3.1000000000005912E-2</v>
      </c>
      <c r="AT44" s="104">
        <f t="shared" si="33"/>
        <v>-5.7000000000016371E-2</v>
      </c>
      <c r="AU44" s="104">
        <f t="shared" si="39"/>
        <v>-0.1799999999999784</v>
      </c>
      <c r="AV44" s="104">
        <f t="shared" si="40"/>
        <v>5.2999999999997272E-2</v>
      </c>
      <c r="AW44" s="104">
        <f t="shared" si="41"/>
        <v>-0.132000000000005</v>
      </c>
      <c r="AX44" s="104">
        <f t="shared" si="42"/>
        <v>-0.10699999999999932</v>
      </c>
      <c r="AY44" s="104">
        <f t="shared" si="6"/>
        <v>-0.25200000000000955</v>
      </c>
      <c r="AZ44" s="104">
        <f t="shared" si="7"/>
        <v>-0.11140000000000043</v>
      </c>
    </row>
    <row r="45" spans="1:52" x14ac:dyDescent="0.3">
      <c r="A45" s="97">
        <v>154</v>
      </c>
      <c r="B45" s="98">
        <v>2149040.2110000001</v>
      </c>
      <c r="C45" s="98">
        <v>6261382.7489999998</v>
      </c>
      <c r="D45" s="98">
        <v>229.48500000000001</v>
      </c>
      <c r="E45" s="99" t="s">
        <v>64</v>
      </c>
      <c r="F45" s="100">
        <v>2011</v>
      </c>
      <c r="G45" s="98">
        <v>230.11099999999999</v>
      </c>
      <c r="H45" s="100">
        <v>2012</v>
      </c>
      <c r="I45" s="98">
        <v>230.08099999999999</v>
      </c>
      <c r="J45" s="100">
        <v>2021</v>
      </c>
      <c r="K45" s="98">
        <v>230.11099999999999</v>
      </c>
      <c r="L45" s="98">
        <v>230.08099999999999</v>
      </c>
      <c r="M45" s="98">
        <v>229.99100000000001</v>
      </c>
      <c r="N45" s="98">
        <v>230.083</v>
      </c>
      <c r="O45" s="98">
        <v>229.77600000000001</v>
      </c>
      <c r="P45" s="98">
        <v>229.80799999999999</v>
      </c>
      <c r="Q45" s="98">
        <v>229.95</v>
      </c>
      <c r="R45" s="101">
        <v>229.82599999999999</v>
      </c>
      <c r="S45" s="98">
        <v>229.82599999999999</v>
      </c>
      <c r="T45" s="101">
        <v>229.80699999999999</v>
      </c>
      <c r="U45" s="98">
        <v>229.69300000000001</v>
      </c>
      <c r="V45" s="98">
        <v>229.767</v>
      </c>
      <c r="W45" s="98">
        <v>229.72</v>
      </c>
      <c r="X45" s="98">
        <v>229.90899999999999</v>
      </c>
      <c r="Y45" s="98">
        <v>229.69200000000001</v>
      </c>
      <c r="Z45" s="98">
        <v>229.81100000000001</v>
      </c>
      <c r="AA45" s="98">
        <v>229.666</v>
      </c>
      <c r="AB45" s="102">
        <v>229.70400000000001</v>
      </c>
      <c r="AC45" s="98">
        <v>229.84</v>
      </c>
      <c r="AD45" s="98">
        <v>229.48500000000001</v>
      </c>
      <c r="AE45" s="98">
        <v>229.58199999999999</v>
      </c>
      <c r="AF45" s="98">
        <f t="shared" si="43"/>
        <v>-0.11999999999997613</v>
      </c>
      <c r="AG45" s="98">
        <f t="shared" si="44"/>
        <v>-0.21500000000000341</v>
      </c>
      <c r="AH45" s="104">
        <f t="shared" si="27"/>
        <v>0.17399999999997817</v>
      </c>
      <c r="AI45" s="104">
        <f t="shared" si="28"/>
        <v>-0.12399999999999523</v>
      </c>
      <c r="AJ45" s="104">
        <f t="shared" si="29"/>
        <v>-0.13299999999998136</v>
      </c>
      <c r="AK45" s="104">
        <f t="shared" si="35"/>
        <v>2.6999999999986812E-2</v>
      </c>
      <c r="AL45" s="104">
        <f t="shared" si="36"/>
        <v>-2.7999999999991587E-2</v>
      </c>
      <c r="AM45" s="104">
        <f t="shared" si="37"/>
        <v>-2.6000000000010459E-2</v>
      </c>
      <c r="AN45" s="104">
        <f t="shared" si="38"/>
        <v>3.8000000000010914E-2</v>
      </c>
      <c r="AO45" s="98">
        <f t="shared" si="4"/>
        <v>-0.21899999999999409</v>
      </c>
      <c r="AP45" s="98">
        <f t="shared" si="1"/>
        <v>-6.259999999999763E-2</v>
      </c>
      <c r="AQ45" s="105">
        <f t="shared" si="45"/>
        <v>2.0000000000095497E-3</v>
      </c>
      <c r="AR45" s="104">
        <f t="shared" si="46"/>
        <v>-0.27500000000000568</v>
      </c>
      <c r="AS45" s="104">
        <f t="shared" si="32"/>
        <v>1.8000000000000682E-2</v>
      </c>
      <c r="AT45" s="104">
        <f t="shared" si="33"/>
        <v>-1.9000000000005457E-2</v>
      </c>
      <c r="AU45" s="104">
        <f t="shared" si="39"/>
        <v>-3.9999999999992042E-2</v>
      </c>
      <c r="AV45" s="104">
        <f t="shared" si="40"/>
        <v>0.14199999999999591</v>
      </c>
      <c r="AW45" s="104">
        <f t="shared" si="41"/>
        <v>-9.7999999999984766E-2</v>
      </c>
      <c r="AX45" s="104">
        <f t="shared" si="42"/>
        <v>1.4499999999998181E-2</v>
      </c>
      <c r="AY45" s="104">
        <f t="shared" si="6"/>
        <v>-0.25800000000000978</v>
      </c>
      <c r="AZ45" s="104">
        <f t="shared" si="7"/>
        <v>-4.9899999999999521E-2</v>
      </c>
    </row>
    <row r="46" spans="1:52" x14ac:dyDescent="0.3">
      <c r="A46" s="97">
        <v>155</v>
      </c>
      <c r="B46" s="98">
        <v>2319104.5070000002</v>
      </c>
      <c r="C46" s="98">
        <v>6078482.3619999997</v>
      </c>
      <c r="D46" s="98">
        <v>108.54300000000001</v>
      </c>
      <c r="E46" s="99" t="s">
        <v>65</v>
      </c>
      <c r="F46" s="100">
        <v>2011</v>
      </c>
      <c r="G46" s="98">
        <v>110.77</v>
      </c>
      <c r="H46" s="100">
        <v>2012</v>
      </c>
      <c r="I46" s="98">
        <v>110.717</v>
      </c>
      <c r="J46" s="100">
        <v>2021</v>
      </c>
      <c r="K46" s="98">
        <v>110.77</v>
      </c>
      <c r="L46" s="98">
        <v>110.717</v>
      </c>
      <c r="M46" s="98">
        <v>110.515</v>
      </c>
      <c r="N46" s="98">
        <v>110.54</v>
      </c>
      <c r="O46" s="98">
        <v>110.252</v>
      </c>
      <c r="P46" s="98">
        <v>110.268</v>
      </c>
      <c r="Q46" s="98">
        <v>110.21899999999999</v>
      </c>
      <c r="R46" s="101">
        <v>109.815</v>
      </c>
      <c r="S46" s="98">
        <v>109.66500000000001</v>
      </c>
      <c r="T46" s="98">
        <v>109.53</v>
      </c>
      <c r="U46" s="98">
        <v>109.383</v>
      </c>
      <c r="V46" s="98">
        <v>109.399</v>
      </c>
      <c r="W46" s="98">
        <v>109.43</v>
      </c>
      <c r="X46" s="98">
        <v>109.164</v>
      </c>
      <c r="Y46" s="98">
        <v>109.17</v>
      </c>
      <c r="Z46" s="98">
        <v>109.16200000000001</v>
      </c>
      <c r="AA46" s="98">
        <v>109.039</v>
      </c>
      <c r="AB46" s="102">
        <v>108.863</v>
      </c>
      <c r="AC46" s="98">
        <v>108.70699999999999</v>
      </c>
      <c r="AD46" s="98">
        <v>108.54300000000001</v>
      </c>
      <c r="AE46" s="98">
        <v>108.33499999999999</v>
      </c>
      <c r="AF46" s="98">
        <f t="shared" si="43"/>
        <v>-0.25499999999999545</v>
      </c>
      <c r="AG46" s="98">
        <f t="shared" si="44"/>
        <v>-0.26300000000000523</v>
      </c>
      <c r="AH46" s="104">
        <f t="shared" si="27"/>
        <v>-3.3000000000001251E-2</v>
      </c>
      <c r="AI46" s="104">
        <f t="shared" si="28"/>
        <v>-0.55399999999998784</v>
      </c>
      <c r="AJ46" s="104">
        <f t="shared" si="29"/>
        <v>-0.28200000000001069</v>
      </c>
      <c r="AK46" s="104">
        <f t="shared" si="35"/>
        <v>4.7000000000011255E-2</v>
      </c>
      <c r="AL46" s="104">
        <f t="shared" si="36"/>
        <v>-0.26000000000000512</v>
      </c>
      <c r="AM46" s="104">
        <f t="shared" si="37"/>
        <v>-0.13100000000000023</v>
      </c>
      <c r="AN46" s="104">
        <f t="shared" si="38"/>
        <v>-0.17600000000000193</v>
      </c>
      <c r="AO46" s="98">
        <f t="shared" si="4"/>
        <v>-0.31999999999999318</v>
      </c>
      <c r="AP46" s="98">
        <f t="shared" si="1"/>
        <v>-0.22269999999999895</v>
      </c>
      <c r="AQ46" s="105">
        <f t="shared" si="45"/>
        <v>-0.1769999999999925</v>
      </c>
      <c r="AR46" s="104">
        <f t="shared" si="46"/>
        <v>-0.27200000000000557</v>
      </c>
      <c r="AS46" s="104">
        <f t="shared" si="32"/>
        <v>-0.45300000000000296</v>
      </c>
      <c r="AT46" s="104">
        <f t="shared" si="33"/>
        <v>-0.28499999999999659</v>
      </c>
      <c r="AU46" s="104">
        <f t="shared" si="39"/>
        <v>-0.13100000000000023</v>
      </c>
      <c r="AV46" s="104">
        <f t="shared" si="40"/>
        <v>-0.23499999999999943</v>
      </c>
      <c r="AW46" s="104">
        <f t="shared" si="41"/>
        <v>-1.9999999999953388E-3</v>
      </c>
      <c r="AX46" s="104">
        <f t="shared" si="42"/>
        <v>-0.22750000000000625</v>
      </c>
      <c r="AY46" s="104">
        <f t="shared" si="6"/>
        <v>-0.37199999999999989</v>
      </c>
      <c r="AZ46" s="104">
        <f t="shared" si="7"/>
        <v>-0.23820000000000049</v>
      </c>
    </row>
    <row r="47" spans="1:52" x14ac:dyDescent="0.3">
      <c r="A47" s="97">
        <v>156</v>
      </c>
      <c r="B47" s="98">
        <v>2292292.0809999998</v>
      </c>
      <c r="C47" s="98">
        <v>6098548.5829999996</v>
      </c>
      <c r="D47" s="98">
        <v>110.29600000000001</v>
      </c>
      <c r="E47" s="99" t="s">
        <v>66</v>
      </c>
      <c r="F47" s="100">
        <v>2011</v>
      </c>
      <c r="G47" s="98">
        <v>113.60299999999999</v>
      </c>
      <c r="H47" s="100">
        <v>2012</v>
      </c>
      <c r="I47" s="98">
        <v>113.241</v>
      </c>
      <c r="J47" s="100">
        <v>2021</v>
      </c>
      <c r="K47" s="98">
        <v>113.60299999999999</v>
      </c>
      <c r="L47" s="98">
        <v>113.241</v>
      </c>
      <c r="M47" s="98">
        <v>113.04900000000001</v>
      </c>
      <c r="N47" s="98">
        <v>112.702</v>
      </c>
      <c r="O47" s="98">
        <v>112.417</v>
      </c>
      <c r="P47" s="98">
        <v>112.2</v>
      </c>
      <c r="Q47" s="98">
        <v>112.181</v>
      </c>
      <c r="R47" s="101">
        <v>111.756</v>
      </c>
      <c r="S47" s="98">
        <v>111.536</v>
      </c>
      <c r="T47" s="101">
        <v>111.307</v>
      </c>
      <c r="U47" s="98">
        <v>111.217</v>
      </c>
      <c r="V47" s="98">
        <v>111.205</v>
      </c>
      <c r="W47" s="98">
        <v>111.24</v>
      </c>
      <c r="X47" s="98">
        <v>110.89100000000001</v>
      </c>
      <c r="Y47" s="98">
        <v>110.87</v>
      </c>
      <c r="Z47" s="98">
        <v>110.881</v>
      </c>
      <c r="AA47" s="98">
        <v>110.8</v>
      </c>
      <c r="AB47" s="102">
        <v>110.575</v>
      </c>
      <c r="AC47" s="98">
        <v>110.428</v>
      </c>
      <c r="AD47" s="98">
        <v>110.29600000000001</v>
      </c>
      <c r="AE47" s="98">
        <v>110.014</v>
      </c>
      <c r="AF47" s="98">
        <f t="shared" si="43"/>
        <v>-0.55399999999998784</v>
      </c>
      <c r="AG47" s="98">
        <f t="shared" si="44"/>
        <v>-0.632000000000005</v>
      </c>
      <c r="AH47" s="104">
        <f t="shared" si="27"/>
        <v>-0.23600000000000421</v>
      </c>
      <c r="AI47" s="104">
        <f t="shared" si="28"/>
        <v>-0.64499999999999602</v>
      </c>
      <c r="AJ47" s="104">
        <f t="shared" si="29"/>
        <v>-0.31900000000000261</v>
      </c>
      <c r="AK47" s="104">
        <f t="shared" si="35"/>
        <v>2.2999999999996135E-2</v>
      </c>
      <c r="AL47" s="104">
        <f t="shared" si="36"/>
        <v>-0.36999999999999034</v>
      </c>
      <c r="AM47" s="104">
        <f t="shared" si="37"/>
        <v>-7.000000000000739E-2</v>
      </c>
      <c r="AN47" s="104">
        <f t="shared" si="38"/>
        <v>-0.22499999999999432</v>
      </c>
      <c r="AO47" s="98">
        <f t="shared" si="4"/>
        <v>-0.27899999999999636</v>
      </c>
      <c r="AP47" s="98">
        <f t="shared" si="1"/>
        <v>-0.33069999999999877</v>
      </c>
      <c r="AQ47" s="105">
        <f t="shared" si="45"/>
        <v>-0.53900000000000148</v>
      </c>
      <c r="AR47" s="104">
        <f t="shared" si="46"/>
        <v>-0.50199999999999534</v>
      </c>
      <c r="AS47" s="104">
        <f t="shared" si="32"/>
        <v>-0.44400000000000261</v>
      </c>
      <c r="AT47" s="104">
        <f t="shared" si="33"/>
        <v>-0.44899999999999807</v>
      </c>
      <c r="AU47" s="104">
        <f t="shared" si="39"/>
        <v>-0.10200000000000387</v>
      </c>
      <c r="AV47" s="104">
        <f t="shared" si="40"/>
        <v>-0.31399999999999295</v>
      </c>
      <c r="AW47" s="104">
        <f t="shared" si="41"/>
        <v>-1.0000000000005116E-2</v>
      </c>
      <c r="AX47" s="104">
        <f t="shared" si="42"/>
        <v>-0.22650000000000148</v>
      </c>
      <c r="AY47" s="104">
        <f t="shared" si="6"/>
        <v>-0.41400000000000148</v>
      </c>
      <c r="AZ47" s="104">
        <f t="shared" si="7"/>
        <v>-0.32270000000000038</v>
      </c>
    </row>
    <row r="48" spans="1:52" x14ac:dyDescent="0.3">
      <c r="A48" s="97">
        <v>157</v>
      </c>
      <c r="B48" s="98">
        <v>2263167.6370000001</v>
      </c>
      <c r="C48" s="98">
        <v>6102759.1189999999</v>
      </c>
      <c r="D48" s="98">
        <v>112.82</v>
      </c>
      <c r="E48" s="99" t="s">
        <v>67</v>
      </c>
      <c r="F48" s="100">
        <v>2011</v>
      </c>
      <c r="G48" s="98">
        <v>114.93600000000001</v>
      </c>
      <c r="H48" s="100">
        <v>2012</v>
      </c>
      <c r="I48" s="98">
        <v>114.879</v>
      </c>
      <c r="J48" s="100">
        <v>2021</v>
      </c>
      <c r="K48" s="98">
        <v>114.93600000000001</v>
      </c>
      <c r="L48" s="98">
        <v>114.879</v>
      </c>
      <c r="M48" s="98">
        <v>114.754</v>
      </c>
      <c r="N48" s="98">
        <v>114.66</v>
      </c>
      <c r="O48" s="98">
        <v>114.402</v>
      </c>
      <c r="P48" s="98">
        <v>114.38800000000001</v>
      </c>
      <c r="Q48" s="98">
        <v>114.374</v>
      </c>
      <c r="R48" s="101">
        <v>114.214</v>
      </c>
      <c r="S48" s="98">
        <v>113.99299999999999</v>
      </c>
      <c r="T48" s="98">
        <v>113.971</v>
      </c>
      <c r="U48" s="98">
        <v>113.76900000000001</v>
      </c>
      <c r="V48" s="98">
        <v>113.655</v>
      </c>
      <c r="W48" s="98">
        <v>113.65</v>
      </c>
      <c r="X48" s="98">
        <v>113.52500000000001</v>
      </c>
      <c r="Y48" s="98">
        <v>113.417</v>
      </c>
      <c r="Z48" s="98">
        <v>113.357</v>
      </c>
      <c r="AA48" s="98">
        <v>113.28</v>
      </c>
      <c r="AB48" s="102">
        <v>113.116</v>
      </c>
      <c r="AC48" s="98">
        <v>112.999</v>
      </c>
      <c r="AD48" s="98">
        <v>112.82</v>
      </c>
      <c r="AE48" s="98">
        <v>112.663</v>
      </c>
      <c r="AF48" s="98">
        <f t="shared" si="43"/>
        <v>-0.18200000000000216</v>
      </c>
      <c r="AG48" s="98">
        <f t="shared" si="44"/>
        <v>-0.35200000000000387</v>
      </c>
      <c r="AH48" s="104">
        <f t="shared" si="27"/>
        <v>-2.8000000000005798E-2</v>
      </c>
      <c r="AI48" s="104">
        <f t="shared" si="28"/>
        <v>-0.38100000000000023</v>
      </c>
      <c r="AJ48" s="104">
        <f t="shared" si="29"/>
        <v>-0.22399999999998954</v>
      </c>
      <c r="AK48" s="104">
        <f t="shared" si="35"/>
        <v>-0.11899999999999977</v>
      </c>
      <c r="AL48" s="104">
        <f t="shared" si="36"/>
        <v>-0.23300000000000409</v>
      </c>
      <c r="AM48" s="104">
        <f t="shared" si="37"/>
        <v>-0.13700000000000045</v>
      </c>
      <c r="AN48" s="104">
        <f t="shared" si="38"/>
        <v>-0.16400000000000148</v>
      </c>
      <c r="AO48" s="98">
        <f t="shared" si="4"/>
        <v>-0.29600000000000648</v>
      </c>
      <c r="AP48" s="98">
        <f t="shared" si="1"/>
        <v>-0.2116000000000014</v>
      </c>
      <c r="AQ48" s="105">
        <f t="shared" si="45"/>
        <v>-0.2190000000000083</v>
      </c>
      <c r="AR48" s="104">
        <f t="shared" si="46"/>
        <v>-0.27199999999999136</v>
      </c>
      <c r="AS48" s="104">
        <f t="shared" si="32"/>
        <v>-0.17400000000000659</v>
      </c>
      <c r="AT48" s="104">
        <f t="shared" si="33"/>
        <v>-0.242999999999995</v>
      </c>
      <c r="AU48" s="104">
        <f t="shared" si="39"/>
        <v>-0.3160000000000025</v>
      </c>
      <c r="AV48" s="104">
        <f t="shared" si="40"/>
        <v>-0.12999999999999545</v>
      </c>
      <c r="AW48" s="104">
        <f t="shared" si="41"/>
        <v>-0.16800000000000637</v>
      </c>
      <c r="AX48" s="104">
        <f t="shared" si="42"/>
        <v>-0.17900000000000205</v>
      </c>
      <c r="AY48" s="104">
        <f t="shared" si="6"/>
        <v>-0.33599999999999852</v>
      </c>
      <c r="AZ48" s="104">
        <f t="shared" si="7"/>
        <v>-0.22160000000000082</v>
      </c>
    </row>
    <row r="49" spans="1:52" x14ac:dyDescent="0.3">
      <c r="A49" s="97">
        <v>158</v>
      </c>
      <c r="B49" s="98">
        <v>2198310.2110000001</v>
      </c>
      <c r="C49" s="98">
        <v>6154768.9639999997</v>
      </c>
      <c r="D49" s="98">
        <v>148.95699999999999</v>
      </c>
      <c r="E49" s="99" t="s">
        <v>68</v>
      </c>
      <c r="F49" s="100">
        <v>2011</v>
      </c>
      <c r="G49" s="98">
        <v>150.79400000000001</v>
      </c>
      <c r="H49" s="100">
        <v>2012</v>
      </c>
      <c r="I49" s="98">
        <v>150.71899999999999</v>
      </c>
      <c r="J49" s="100">
        <v>2021</v>
      </c>
      <c r="K49" s="98">
        <v>150.79400000000001</v>
      </c>
      <c r="L49" s="98">
        <v>150.71899999999999</v>
      </c>
      <c r="M49" s="98">
        <v>150.72</v>
      </c>
      <c r="N49" s="98">
        <v>150.69300000000001</v>
      </c>
      <c r="O49" s="98">
        <v>150.35</v>
      </c>
      <c r="P49" s="98">
        <v>150.328</v>
      </c>
      <c r="Q49" s="98">
        <v>150.34100000000001</v>
      </c>
      <c r="R49" s="101">
        <v>150.16200000000001</v>
      </c>
      <c r="S49" s="98">
        <v>150.006</v>
      </c>
      <c r="T49" s="101">
        <v>150.08000000000001</v>
      </c>
      <c r="U49" s="98">
        <v>149.77500000000001</v>
      </c>
      <c r="V49" s="98">
        <v>149.70400000000001</v>
      </c>
      <c r="W49" s="98">
        <v>149.72</v>
      </c>
      <c r="X49" s="98">
        <v>149.74</v>
      </c>
      <c r="Y49" s="98">
        <v>149.523</v>
      </c>
      <c r="Z49" s="98">
        <v>149.518</v>
      </c>
      <c r="AA49" s="98">
        <v>149.4</v>
      </c>
      <c r="AB49" s="102">
        <v>149.24299999999999</v>
      </c>
      <c r="AC49" s="98">
        <v>149.221</v>
      </c>
      <c r="AD49" s="98">
        <v>148.95699999999999</v>
      </c>
      <c r="AE49" s="98">
        <v>148.905</v>
      </c>
      <c r="AF49" s="98">
        <f t="shared" si="43"/>
        <v>-7.4000000000012278E-2</v>
      </c>
      <c r="AG49" s="98">
        <f t="shared" si="44"/>
        <v>-0.37000000000000455</v>
      </c>
      <c r="AH49" s="104">
        <f t="shared" si="27"/>
        <v>-8.9999999999861302E-3</v>
      </c>
      <c r="AI49" s="104">
        <f t="shared" si="28"/>
        <v>-0.33500000000000796</v>
      </c>
      <c r="AJ49" s="104">
        <f t="shared" si="29"/>
        <v>-0.23099999999999454</v>
      </c>
      <c r="AK49" s="104">
        <f t="shared" si="35"/>
        <v>-5.5000000000006821E-2</v>
      </c>
      <c r="AL49" s="104">
        <f t="shared" si="36"/>
        <v>-0.19700000000000273</v>
      </c>
      <c r="AM49" s="104">
        <f t="shared" si="37"/>
        <v>-0.12299999999999045</v>
      </c>
      <c r="AN49" s="104">
        <f t="shared" si="38"/>
        <v>-0.15700000000001069</v>
      </c>
      <c r="AO49" s="98">
        <f t="shared" si="4"/>
        <v>-0.28600000000000136</v>
      </c>
      <c r="AP49" s="98">
        <f t="shared" si="1"/>
        <v>-0.18370000000000175</v>
      </c>
      <c r="AQ49" s="105">
        <f t="shared" si="45"/>
        <v>-2.5999999999982037E-2</v>
      </c>
      <c r="AR49" s="104">
        <f t="shared" si="46"/>
        <v>-0.36500000000000909</v>
      </c>
      <c r="AS49" s="104">
        <f t="shared" si="32"/>
        <v>-0.16599999999999682</v>
      </c>
      <c r="AT49" s="104">
        <f t="shared" si="33"/>
        <v>-8.1999999999993634E-2</v>
      </c>
      <c r="AU49" s="104">
        <f t="shared" si="39"/>
        <v>-0.37600000000000477</v>
      </c>
      <c r="AV49" s="104">
        <f t="shared" si="40"/>
        <v>3.6000000000001364E-2</v>
      </c>
      <c r="AW49" s="104">
        <f t="shared" si="41"/>
        <v>-0.22200000000000841</v>
      </c>
      <c r="AX49" s="104">
        <f t="shared" si="42"/>
        <v>-0.14849999999999852</v>
      </c>
      <c r="AY49" s="104">
        <f t="shared" si="6"/>
        <v>-0.3160000000000025</v>
      </c>
      <c r="AZ49" s="104">
        <f t="shared" si="7"/>
        <v>-0.18139999999999928</v>
      </c>
    </row>
    <row r="50" spans="1:52" x14ac:dyDescent="0.3">
      <c r="A50" s="97">
        <v>159</v>
      </c>
      <c r="B50" s="98">
        <v>2186287.7940000002</v>
      </c>
      <c r="C50" s="98">
        <v>6159874.96</v>
      </c>
      <c r="D50" s="98">
        <v>150.46299999999999</v>
      </c>
      <c r="E50" s="99" t="s">
        <v>23</v>
      </c>
      <c r="F50" s="100">
        <v>2011</v>
      </c>
      <c r="G50" s="98">
        <v>151.85499999999999</v>
      </c>
      <c r="H50" s="100">
        <v>2012</v>
      </c>
      <c r="I50" s="98">
        <v>151.79900000000001</v>
      </c>
      <c r="J50" s="100">
        <v>2021</v>
      </c>
      <c r="K50" s="98">
        <v>151.85499999999999</v>
      </c>
      <c r="L50" s="98">
        <v>151.79900000000001</v>
      </c>
      <c r="M50" s="98">
        <v>151.80799999999999</v>
      </c>
      <c r="N50" s="98">
        <v>151.79</v>
      </c>
      <c r="O50" s="98">
        <v>151.46799999999999</v>
      </c>
      <c r="P50" s="98">
        <v>151.465</v>
      </c>
      <c r="Q50" s="98">
        <v>151.51</v>
      </c>
      <c r="R50" s="101">
        <v>151.417</v>
      </c>
      <c r="S50" s="98">
        <v>151.214</v>
      </c>
      <c r="T50" s="98">
        <v>151.33500000000001</v>
      </c>
      <c r="U50" s="98">
        <v>151.04</v>
      </c>
      <c r="V50" s="98">
        <v>151.06</v>
      </c>
      <c r="W50" s="98">
        <v>151.06</v>
      </c>
      <c r="X50" s="98">
        <v>151.11799999999999</v>
      </c>
      <c r="Y50" s="98">
        <v>150.91800000000001</v>
      </c>
      <c r="Z50" s="98">
        <v>150.93600000000001</v>
      </c>
      <c r="AA50" s="98">
        <v>150.82599999999999</v>
      </c>
      <c r="AB50" s="102">
        <v>150.74</v>
      </c>
      <c r="AC50" s="98">
        <v>150.691</v>
      </c>
      <c r="AD50" s="98">
        <v>150.46299999999999</v>
      </c>
      <c r="AE50" s="98">
        <v>150.416</v>
      </c>
      <c r="AF50" s="98">
        <f t="shared" si="43"/>
        <v>-4.6999999999997044E-2</v>
      </c>
      <c r="AG50" s="98">
        <f t="shared" si="44"/>
        <v>-0.34000000000000341</v>
      </c>
      <c r="AH50" s="104">
        <f t="shared" si="27"/>
        <v>4.2000000000001592E-2</v>
      </c>
      <c r="AI50" s="104">
        <f t="shared" si="28"/>
        <v>-0.29599999999999227</v>
      </c>
      <c r="AJ50" s="104">
        <f t="shared" si="29"/>
        <v>-0.17400000000000659</v>
      </c>
      <c r="AK50" s="104">
        <f t="shared" si="35"/>
        <v>2.0000000000010232E-2</v>
      </c>
      <c r="AL50" s="104">
        <f t="shared" si="36"/>
        <v>-0.14199999999999591</v>
      </c>
      <c r="AM50" s="104">
        <f t="shared" si="37"/>
        <v>-9.200000000001296E-2</v>
      </c>
      <c r="AN50" s="104">
        <f t="shared" si="38"/>
        <v>-8.5999999999984311E-2</v>
      </c>
      <c r="AO50" s="98">
        <f t="shared" si="4"/>
        <v>-0.27700000000001523</v>
      </c>
      <c r="AP50" s="98">
        <f t="shared" si="1"/>
        <v>-0.1391999999999996</v>
      </c>
      <c r="AQ50" s="105">
        <f t="shared" si="45"/>
        <v>-9.0000000000145519E-3</v>
      </c>
      <c r="AR50" s="104">
        <f t="shared" si="46"/>
        <v>-0.32499999999998863</v>
      </c>
      <c r="AS50" s="104">
        <f t="shared" si="32"/>
        <v>-4.8000000000001819E-2</v>
      </c>
      <c r="AT50" s="104">
        <f t="shared" si="33"/>
        <v>-8.1999999999993634E-2</v>
      </c>
      <c r="AU50" s="104">
        <f t="shared" si="39"/>
        <v>-0.27500000000000568</v>
      </c>
      <c r="AV50" s="104">
        <f t="shared" si="40"/>
        <v>5.7999999999992724E-2</v>
      </c>
      <c r="AW50" s="104">
        <f t="shared" si="41"/>
        <v>-0.18199999999998795</v>
      </c>
      <c r="AX50" s="104">
        <f t="shared" si="42"/>
        <v>-0.12250000000000227</v>
      </c>
      <c r="AY50" s="104">
        <f t="shared" si="6"/>
        <v>-0.27500000000000568</v>
      </c>
      <c r="AZ50" s="104">
        <f t="shared" si="7"/>
        <v>-0.13830000000000098</v>
      </c>
    </row>
    <row r="51" spans="1:52" x14ac:dyDescent="0.3">
      <c r="A51" s="10" t="s">
        <v>94</v>
      </c>
      <c r="B51" s="64">
        <v>2184391.4500000002</v>
      </c>
      <c r="C51" s="64">
        <v>6227465.2970000003</v>
      </c>
      <c r="D51" s="64">
        <v>213.434</v>
      </c>
      <c r="E51" s="10" t="s">
        <v>69</v>
      </c>
      <c r="F51" s="100">
        <v>2011</v>
      </c>
      <c r="G51" s="98">
        <v>214.505</v>
      </c>
      <c r="H51" s="100">
        <v>2012</v>
      </c>
      <c r="I51" s="98">
        <v>214.459</v>
      </c>
      <c r="J51" s="100">
        <v>2021</v>
      </c>
      <c r="K51" s="98">
        <v>214.505</v>
      </c>
      <c r="L51" s="98">
        <v>214.459</v>
      </c>
      <c r="M51" s="98">
        <v>214.387</v>
      </c>
      <c r="N51" s="98">
        <v>214.44300000000001</v>
      </c>
      <c r="O51" s="98">
        <v>214.08699999999999</v>
      </c>
      <c r="P51" s="98">
        <v>214.03299999999999</v>
      </c>
      <c r="Q51" s="104">
        <v>214.06799999999998</v>
      </c>
      <c r="R51" s="101">
        <v>214.03</v>
      </c>
      <c r="S51" s="98">
        <v>213.88899999999998</v>
      </c>
      <c r="T51" s="98">
        <v>213.88199999999998</v>
      </c>
      <c r="U51" s="104">
        <f>215.439-1.663</f>
        <v>213.77599999999998</v>
      </c>
      <c r="V51" s="98">
        <f>215.457-1.663</f>
        <v>213.79399999999998</v>
      </c>
      <c r="W51" s="98">
        <f>215.43-1.663</f>
        <v>213.767</v>
      </c>
      <c r="X51" s="98">
        <f>215.509-1.663</f>
        <v>213.84599999999998</v>
      </c>
      <c r="Y51" s="98">
        <f>215.306-1.663</f>
        <v>213.643</v>
      </c>
      <c r="Z51" s="98">
        <f>215.4-1.663</f>
        <v>213.73699999999999</v>
      </c>
      <c r="AA51" s="98">
        <f>215.302-1.663</f>
        <v>213.63899999999998</v>
      </c>
      <c r="AB51" s="102">
        <v>213.66499999999999</v>
      </c>
      <c r="AC51" s="98">
        <f>215.399-1.663</f>
        <v>213.73599999999999</v>
      </c>
      <c r="AD51" s="98">
        <f>215.097-1.663</f>
        <v>213.434</v>
      </c>
      <c r="AE51" s="98">
        <f>215.16-1.663</f>
        <v>213.49699999999999</v>
      </c>
      <c r="AF51" s="98">
        <f t="shared" si="43"/>
        <v>-0.117999999999995</v>
      </c>
      <c r="AG51" s="98">
        <f t="shared" si="44"/>
        <v>-0.30000000000001137</v>
      </c>
      <c r="AH51" s="104">
        <f t="shared" si="27"/>
        <v>-1.9000000000005457E-2</v>
      </c>
      <c r="AI51" s="104">
        <f t="shared" si="28"/>
        <v>-0.17900000000000205</v>
      </c>
      <c r="AJ51" s="104">
        <f t="shared" si="29"/>
        <v>-0.11299999999999955</v>
      </c>
      <c r="AK51" s="104">
        <f t="shared" si="35"/>
        <v>-8.9999999999861302E-3</v>
      </c>
      <c r="AL51" s="104">
        <f t="shared" si="36"/>
        <v>-0.12399999999999523</v>
      </c>
      <c r="AM51" s="104">
        <f t="shared" si="37"/>
        <v>-4.0000000000190994E-3</v>
      </c>
      <c r="AN51" s="104">
        <f t="shared" si="38"/>
        <v>2.6000000000010459E-2</v>
      </c>
      <c r="AO51" s="98">
        <f t="shared" si="4"/>
        <v>-0.23099999999999454</v>
      </c>
      <c r="AP51" s="98">
        <f t="shared" si="1"/>
        <v>-0.10709999999999979</v>
      </c>
      <c r="AQ51" s="105">
        <f t="shared" si="45"/>
        <v>-1.5999999999991132E-2</v>
      </c>
      <c r="AR51" s="104">
        <f t="shared" si="46"/>
        <v>-0.41000000000002501</v>
      </c>
      <c r="AS51" s="104">
        <f t="shared" si="32"/>
        <v>-2.9999999999859028E-3</v>
      </c>
      <c r="AT51" s="104">
        <f t="shared" si="33"/>
        <v>-0.14800000000002456</v>
      </c>
      <c r="AU51" s="104">
        <f t="shared" si="39"/>
        <v>-8.7999999999993861E-2</v>
      </c>
      <c r="AV51" s="104">
        <f t="shared" si="40"/>
        <v>5.1999999999992497E-2</v>
      </c>
      <c r="AW51" s="104">
        <f t="shared" si="41"/>
        <v>-0.10899999999998045</v>
      </c>
      <c r="AX51" s="104">
        <f t="shared" si="42"/>
        <v>-5.0000000000238742E-4</v>
      </c>
      <c r="AY51" s="104">
        <f>AE51-AC51</f>
        <v>-0.23900000000000432</v>
      </c>
      <c r="AZ51" s="104">
        <f t="shared" si="7"/>
        <v>-9.6200000000001756E-2</v>
      </c>
    </row>
    <row r="52" spans="1:52" x14ac:dyDescent="0.3">
      <c r="A52" s="97">
        <v>162</v>
      </c>
      <c r="B52" s="98">
        <v>2284179.4569999999</v>
      </c>
      <c r="C52" s="98">
        <v>6121191.4129999997</v>
      </c>
      <c r="D52" s="98">
        <v>118.818</v>
      </c>
      <c r="E52" s="99" t="s">
        <v>24</v>
      </c>
      <c r="F52" s="100">
        <v>2011</v>
      </c>
      <c r="G52" s="98">
        <v>122.021</v>
      </c>
      <c r="H52" s="100">
        <v>2012</v>
      </c>
      <c r="I52" s="98">
        <v>121.717</v>
      </c>
      <c r="J52" s="100">
        <v>2021</v>
      </c>
      <c r="K52" s="98">
        <v>122.021</v>
      </c>
      <c r="L52" s="98">
        <v>121.717</v>
      </c>
      <c r="M52" s="98">
        <v>121.54600000000001</v>
      </c>
      <c r="N52" s="98">
        <v>121.07899999999999</v>
      </c>
      <c r="O52" s="98">
        <v>120.776</v>
      </c>
      <c r="P52" s="98">
        <v>120.56</v>
      </c>
      <c r="Q52" s="98">
        <v>120.566</v>
      </c>
      <c r="R52" s="101">
        <v>120.05500000000001</v>
      </c>
      <c r="S52" s="98">
        <v>119.92400000000001</v>
      </c>
      <c r="T52" s="98">
        <v>119.80800000000001</v>
      </c>
      <c r="U52" s="98">
        <v>119.64100000000001</v>
      </c>
      <c r="V52" s="98">
        <v>119.554</v>
      </c>
      <c r="W52" s="98">
        <v>119.6</v>
      </c>
      <c r="X52" s="98">
        <v>119.428</v>
      </c>
      <c r="Y52" s="98">
        <v>119.361</v>
      </c>
      <c r="Z52" s="98">
        <v>119.29900000000001</v>
      </c>
      <c r="AA52" s="98">
        <v>119.26600000000001</v>
      </c>
      <c r="AB52" s="102">
        <v>119.057</v>
      </c>
      <c r="AC52" s="98">
        <v>118.9</v>
      </c>
      <c r="AD52" s="98">
        <v>118.818</v>
      </c>
      <c r="AE52" s="98">
        <v>118.62</v>
      </c>
      <c r="AF52" s="98">
        <f t="shared" si="43"/>
        <v>-0.47499999999999432</v>
      </c>
      <c r="AG52" s="98">
        <f t="shared" si="44"/>
        <v>-0.77000000000001023</v>
      </c>
      <c r="AH52" s="104">
        <f t="shared" si="27"/>
        <v>-0.20999999999999375</v>
      </c>
      <c r="AI52" s="104">
        <f t="shared" si="28"/>
        <v>-0.64199999999999591</v>
      </c>
      <c r="AJ52" s="104">
        <f t="shared" si="29"/>
        <v>-0.28300000000000125</v>
      </c>
      <c r="AK52" s="104">
        <f t="shared" si="35"/>
        <v>-4.1000000000011028E-2</v>
      </c>
      <c r="AL52" s="104">
        <f t="shared" si="36"/>
        <v>-0.23899999999999011</v>
      </c>
      <c r="AM52" s="104">
        <f t="shared" si="37"/>
        <v>-9.4999999999998863E-2</v>
      </c>
      <c r="AN52" s="104">
        <f t="shared" si="38"/>
        <v>-0.20900000000000318</v>
      </c>
      <c r="AO52" s="98">
        <f t="shared" si="4"/>
        <v>-0.23900000000000432</v>
      </c>
      <c r="AP52" s="98">
        <f t="shared" si="1"/>
        <v>-0.32030000000000031</v>
      </c>
      <c r="AQ52" s="105">
        <f t="shared" si="45"/>
        <v>-0.63800000000000523</v>
      </c>
      <c r="AR52" s="104">
        <f t="shared" si="46"/>
        <v>-0.51899999999999125</v>
      </c>
      <c r="AS52" s="104">
        <f t="shared" si="32"/>
        <v>-0.50499999999999545</v>
      </c>
      <c r="AT52" s="104">
        <f t="shared" si="33"/>
        <v>-0.24699999999999989</v>
      </c>
      <c r="AU52" s="104">
        <f t="shared" si="39"/>
        <v>-0.25400000000000489</v>
      </c>
      <c r="AV52" s="104">
        <f t="shared" si="40"/>
        <v>-0.12600000000000477</v>
      </c>
      <c r="AW52" s="104">
        <f t="shared" si="41"/>
        <v>-0.12899999999999068</v>
      </c>
      <c r="AX52" s="104">
        <f t="shared" si="42"/>
        <v>-0.19950000000000045</v>
      </c>
      <c r="AY52" s="104">
        <f t="shared" si="6"/>
        <v>-0.28000000000000114</v>
      </c>
      <c r="AZ52" s="104">
        <f t="shared" si="7"/>
        <v>-0.30969999999999942</v>
      </c>
    </row>
    <row r="53" spans="1:52" x14ac:dyDescent="0.3">
      <c r="A53" s="97">
        <v>165</v>
      </c>
      <c r="B53" s="98">
        <v>2210796.693</v>
      </c>
      <c r="C53" s="98">
        <v>6330511.5930000003</v>
      </c>
      <c r="D53" s="98">
        <v>372.54700000000003</v>
      </c>
      <c r="E53" s="99" t="s">
        <v>98</v>
      </c>
      <c r="F53" s="100">
        <v>2017</v>
      </c>
      <c r="G53" s="98">
        <v>372.86</v>
      </c>
      <c r="H53" s="100">
        <v>2018</v>
      </c>
      <c r="I53" s="98">
        <v>372.89499999999998</v>
      </c>
      <c r="J53" s="100">
        <v>2021</v>
      </c>
      <c r="K53" s="98"/>
      <c r="L53" s="98"/>
      <c r="M53" s="98"/>
      <c r="N53" s="98"/>
      <c r="O53" s="98"/>
      <c r="P53" s="98"/>
      <c r="Q53" s="98"/>
      <c r="R53" s="101"/>
      <c r="S53" s="98"/>
      <c r="T53" s="101"/>
      <c r="U53" s="98"/>
      <c r="V53" s="98"/>
      <c r="W53" s="98">
        <v>372.86</v>
      </c>
      <c r="X53" s="98">
        <v>372.89499999999998</v>
      </c>
      <c r="Y53" s="98">
        <v>372.66500000000002</v>
      </c>
      <c r="Z53" s="98">
        <v>372.81200000000001</v>
      </c>
      <c r="AA53" s="98">
        <v>372.69400000000002</v>
      </c>
      <c r="AB53" s="102">
        <v>372.685</v>
      </c>
      <c r="AC53" s="98">
        <v>372.73899999999998</v>
      </c>
      <c r="AD53" s="98">
        <v>372.54700000000003</v>
      </c>
      <c r="AE53" s="98">
        <v>372.58199999999999</v>
      </c>
      <c r="AF53" s="98"/>
      <c r="AG53" s="98"/>
      <c r="AH53" s="104"/>
      <c r="AI53" s="104"/>
      <c r="AJ53" s="104"/>
      <c r="AK53" s="104" t="s">
        <v>99</v>
      </c>
      <c r="AL53" s="104">
        <f t="shared" si="36"/>
        <v>-0.19499999999999318</v>
      </c>
      <c r="AM53" s="104">
        <f t="shared" si="37"/>
        <v>2.8999999999996362E-2</v>
      </c>
      <c r="AN53" s="104">
        <f t="shared" si="38"/>
        <v>-9.0000000000145519E-3</v>
      </c>
      <c r="AO53" s="98">
        <f t="shared" si="4"/>
        <v>-0.13799999999997681</v>
      </c>
      <c r="AP53" s="103">
        <f t="shared" si="1"/>
        <v>-7.8249999999997044E-2</v>
      </c>
      <c r="AQ53" s="105"/>
      <c r="AR53" s="104"/>
      <c r="AS53" s="104"/>
      <c r="AT53" s="104"/>
      <c r="AU53" s="104"/>
      <c r="AV53" s="104"/>
      <c r="AW53" s="104">
        <f t="shared" si="41"/>
        <v>-8.2999999999969987E-2</v>
      </c>
      <c r="AX53" s="104">
        <f t="shared" si="42"/>
        <v>-3.6500000000017963E-2</v>
      </c>
      <c r="AY53" s="104">
        <f t="shared" si="6"/>
        <v>-0.15699999999998226</v>
      </c>
      <c r="AZ53" s="104">
        <f t="shared" si="7"/>
        <v>-7.8249999999997044E-2</v>
      </c>
    </row>
    <row r="54" spans="1:52" x14ac:dyDescent="0.3">
      <c r="A54" s="97">
        <v>170</v>
      </c>
      <c r="B54" s="98">
        <v>2335285.4210000001</v>
      </c>
      <c r="C54" s="98">
        <v>6066326.9840000002</v>
      </c>
      <c r="D54" s="98">
        <v>97.385999999999996</v>
      </c>
      <c r="E54" s="99" t="s">
        <v>70</v>
      </c>
      <c r="F54" s="100">
        <v>2013</v>
      </c>
      <c r="G54" s="98">
        <v>98.338999999999999</v>
      </c>
      <c r="H54" s="100">
        <v>2014</v>
      </c>
      <c r="I54" s="98">
        <v>98.378</v>
      </c>
      <c r="J54" s="100">
        <v>2021</v>
      </c>
      <c r="K54" s="98"/>
      <c r="L54" s="98"/>
      <c r="M54" s="98"/>
      <c r="N54" s="98"/>
      <c r="O54" s="98">
        <v>98.338999999999999</v>
      </c>
      <c r="P54" s="98">
        <v>98.378</v>
      </c>
      <c r="Q54" s="98">
        <v>98.266000000000005</v>
      </c>
      <c r="R54" s="101">
        <v>98.063999999999993</v>
      </c>
      <c r="S54" s="98">
        <v>97.944999999999993</v>
      </c>
      <c r="T54" s="101">
        <v>97.888000000000005</v>
      </c>
      <c r="U54" s="98">
        <v>97.837999999999994</v>
      </c>
      <c r="V54" s="98">
        <v>97.897999999999996</v>
      </c>
      <c r="W54" s="98">
        <v>97.93</v>
      </c>
      <c r="X54" s="98">
        <v>97.756</v>
      </c>
      <c r="Y54" s="98">
        <v>97.763999999999996</v>
      </c>
      <c r="Z54" s="98">
        <v>97.807000000000002</v>
      </c>
      <c r="AA54" s="98">
        <v>97.748000000000005</v>
      </c>
      <c r="AB54" s="102">
        <v>97.6</v>
      </c>
      <c r="AC54" s="98">
        <v>97.492000000000004</v>
      </c>
      <c r="AD54" s="98">
        <v>97.385999999999996</v>
      </c>
      <c r="AE54" s="98">
        <v>97.316999999999993</v>
      </c>
      <c r="AF54" s="98"/>
      <c r="AG54" s="98"/>
      <c r="AH54" s="104">
        <f>Q54-O54</f>
        <v>-7.2999999999993292E-2</v>
      </c>
      <c r="AI54" s="104">
        <f>S54-Q54</f>
        <v>-0.32100000000001216</v>
      </c>
      <c r="AJ54" s="104">
        <f>U54-S54</f>
        <v>-0.10699999999999932</v>
      </c>
      <c r="AK54" s="104">
        <f>W54-U54</f>
        <v>9.200000000001296E-2</v>
      </c>
      <c r="AL54" s="104">
        <f t="shared" si="36"/>
        <v>-0.16600000000001103</v>
      </c>
      <c r="AM54" s="104">
        <f t="shared" si="37"/>
        <v>-1.5999999999991132E-2</v>
      </c>
      <c r="AN54" s="104">
        <f t="shared" si="38"/>
        <v>-0.14800000000001035</v>
      </c>
      <c r="AO54" s="98">
        <f t="shared" si="4"/>
        <v>-0.21399999999999864</v>
      </c>
      <c r="AP54" s="103">
        <f t="shared" si="1"/>
        <v>-0.11912500000000037</v>
      </c>
      <c r="AQ54" s="105"/>
      <c r="AR54" s="103"/>
      <c r="AS54" s="104">
        <f>R54-P54</f>
        <v>-0.31400000000000716</v>
      </c>
      <c r="AT54" s="104">
        <f>T54-R54</f>
        <v>-0.17599999999998772</v>
      </c>
      <c r="AU54" s="104">
        <f>V54-T54</f>
        <v>9.9999999999909051E-3</v>
      </c>
      <c r="AV54" s="104">
        <f>X54-V54</f>
        <v>-0.14199999999999591</v>
      </c>
      <c r="AW54" s="104">
        <f t="shared" si="41"/>
        <v>5.1000000000001933E-2</v>
      </c>
      <c r="AX54" s="104">
        <f t="shared" si="42"/>
        <v>-0.15749999999999886</v>
      </c>
      <c r="AY54" s="104">
        <f t="shared" si="6"/>
        <v>-0.17500000000001137</v>
      </c>
      <c r="AZ54" s="104">
        <f t="shared" si="7"/>
        <v>-0.13262500000000088</v>
      </c>
    </row>
    <row r="55" spans="1:52" x14ac:dyDescent="0.3">
      <c r="A55" s="10" t="s">
        <v>100</v>
      </c>
      <c r="B55" s="64">
        <v>2203302.8840000001</v>
      </c>
      <c r="C55" s="64">
        <v>6176146.6919999998</v>
      </c>
      <c r="D55" s="64">
        <v>158.333</v>
      </c>
      <c r="E55" s="10" t="s">
        <v>107</v>
      </c>
      <c r="F55" s="100">
        <v>2017</v>
      </c>
      <c r="G55" s="98">
        <v>159.19</v>
      </c>
      <c r="H55" s="100">
        <v>2017</v>
      </c>
      <c r="I55" s="98">
        <v>159.16399999999999</v>
      </c>
      <c r="J55" s="100">
        <v>2021</v>
      </c>
      <c r="K55" s="98"/>
      <c r="L55" s="98"/>
      <c r="M55" s="98"/>
      <c r="N55" s="98"/>
      <c r="O55" s="98"/>
      <c r="P55" s="98"/>
      <c r="Q55" s="98"/>
      <c r="R55" s="101"/>
      <c r="S55" s="98"/>
      <c r="T55" s="101"/>
      <c r="U55" s="98"/>
      <c r="V55" s="98">
        <v>159.16399999999999</v>
      </c>
      <c r="W55" s="98">
        <v>159.19</v>
      </c>
      <c r="X55" s="98">
        <v>159.14400000000001</v>
      </c>
      <c r="Y55" s="105">
        <f>170.187-11.23</f>
        <v>158.95700000000002</v>
      </c>
      <c r="Z55" s="105">
        <f>170.2-11.23</f>
        <v>158.97</v>
      </c>
      <c r="AA55" s="98">
        <f>170.001-11.23</f>
        <v>158.77100000000002</v>
      </c>
      <c r="AB55" s="102">
        <v>158.57900000000001</v>
      </c>
      <c r="AC55" s="98">
        <f>169.787-11.23</f>
        <v>158.55700000000002</v>
      </c>
      <c r="AD55" s="98">
        <f>169.563-11.23</f>
        <v>158.333</v>
      </c>
      <c r="AE55" s="98">
        <f>169.442-11.23</f>
        <v>158.21200000000002</v>
      </c>
      <c r="AF55" s="98"/>
      <c r="AG55" s="98"/>
      <c r="AH55" s="104"/>
      <c r="AI55" s="104"/>
      <c r="AJ55" s="104"/>
      <c r="AK55" s="104" t="s">
        <v>99</v>
      </c>
      <c r="AL55" s="104">
        <f t="shared" si="36"/>
        <v>-0.23299999999997567</v>
      </c>
      <c r="AM55" s="104">
        <f t="shared" si="37"/>
        <v>-0.18600000000000705</v>
      </c>
      <c r="AN55" s="104">
        <f t="shared" si="38"/>
        <v>-0.19200000000000728</v>
      </c>
      <c r="AO55" s="98">
        <f t="shared" si="4"/>
        <v>-0.24600000000000932</v>
      </c>
      <c r="AP55" s="103">
        <f t="shared" si="1"/>
        <v>-0.21424999999999983</v>
      </c>
      <c r="AQ55" s="105"/>
      <c r="AR55" s="103"/>
      <c r="AS55" s="104"/>
      <c r="AT55" s="104"/>
      <c r="AU55" s="104"/>
      <c r="AV55" s="104">
        <f>X55-V55</f>
        <v>-1.999999999998181E-2</v>
      </c>
      <c r="AW55" s="104">
        <f t="shared" si="41"/>
        <v>-0.17400000000000659</v>
      </c>
      <c r="AX55" s="104">
        <f t="shared" si="42"/>
        <v>-0.20649999999999125</v>
      </c>
      <c r="AY55" s="104">
        <f t="shared" si="6"/>
        <v>-0.34499999999999886</v>
      </c>
      <c r="AZ55" s="104">
        <f t="shared" si="7"/>
        <v>-0.19039999999999396</v>
      </c>
    </row>
    <row r="56" spans="1:52" x14ac:dyDescent="0.3">
      <c r="A56" s="97">
        <v>202</v>
      </c>
      <c r="B56" s="98">
        <v>2178457.952</v>
      </c>
      <c r="C56" s="98">
        <v>6331655.0899999999</v>
      </c>
      <c r="D56" s="98">
        <v>323.96800000000002</v>
      </c>
      <c r="E56" s="99" t="s">
        <v>52</v>
      </c>
      <c r="F56" s="100">
        <v>2017</v>
      </c>
      <c r="G56" s="98">
        <v>324.13</v>
      </c>
      <c r="H56" s="100">
        <v>2018</v>
      </c>
      <c r="I56" s="98">
        <v>324.22800000000001</v>
      </c>
      <c r="J56" s="100">
        <v>2021</v>
      </c>
      <c r="K56" s="98"/>
      <c r="L56" s="98"/>
      <c r="M56" s="98"/>
      <c r="N56" s="98"/>
      <c r="O56" s="98"/>
      <c r="P56" s="98"/>
      <c r="Q56" s="98"/>
      <c r="R56" s="101"/>
      <c r="S56" s="98"/>
      <c r="T56" s="101"/>
      <c r="U56" s="98"/>
      <c r="V56" s="98"/>
      <c r="W56" s="98">
        <v>324.13</v>
      </c>
      <c r="X56" s="98">
        <v>324.22800000000001</v>
      </c>
      <c r="Y56" s="98">
        <v>323.983</v>
      </c>
      <c r="Z56" s="98">
        <v>324.154</v>
      </c>
      <c r="AA56" s="98">
        <v>324.04599999999999</v>
      </c>
      <c r="AB56" s="102">
        <v>324.11799999999999</v>
      </c>
      <c r="AC56" s="98">
        <v>324.18</v>
      </c>
      <c r="AD56" s="98">
        <v>323.96800000000002</v>
      </c>
      <c r="AE56" s="98">
        <v>324.12200000000001</v>
      </c>
      <c r="AF56" s="98"/>
      <c r="AG56" s="98"/>
      <c r="AH56" s="104"/>
      <c r="AI56" s="104"/>
      <c r="AJ56" s="104"/>
      <c r="AK56" s="104" t="s">
        <v>99</v>
      </c>
      <c r="AL56" s="104">
        <f t="shared" si="36"/>
        <v>-0.14699999999999136</v>
      </c>
      <c r="AM56" s="104">
        <f t="shared" si="37"/>
        <v>6.2999999999988177E-2</v>
      </c>
      <c r="AN56" s="104">
        <f t="shared" si="38"/>
        <v>7.2000000000002728E-2</v>
      </c>
      <c r="AO56" s="98">
        <f t="shared" si="4"/>
        <v>-0.14999999999997726</v>
      </c>
      <c r="AP56" s="103">
        <f t="shared" si="1"/>
        <v>-4.0499999999994429E-2</v>
      </c>
      <c r="AQ56" s="105"/>
      <c r="AR56" s="103"/>
      <c r="AS56" s="104"/>
      <c r="AT56" s="104"/>
      <c r="AU56" s="104"/>
      <c r="AV56" s="104"/>
      <c r="AW56" s="104">
        <f t="shared" si="41"/>
        <v>-7.4000000000012278E-2</v>
      </c>
      <c r="AX56" s="104">
        <f t="shared" si="42"/>
        <v>1.300000000000523E-2</v>
      </c>
      <c r="AY56" s="104">
        <f t="shared" si="6"/>
        <v>-5.7999999999992724E-2</v>
      </c>
      <c r="AZ56" s="104">
        <f t="shared" si="7"/>
        <v>-2.6499999999998636E-2</v>
      </c>
    </row>
    <row r="57" spans="1:52" x14ac:dyDescent="0.3">
      <c r="A57" s="97" t="s">
        <v>25</v>
      </c>
      <c r="B57" s="98">
        <v>2224869.13</v>
      </c>
      <c r="C57" s="98">
        <v>6157684.9340000004</v>
      </c>
      <c r="D57" s="98">
        <v>144.34299999999999</v>
      </c>
      <c r="E57" s="99" t="s">
        <v>59</v>
      </c>
      <c r="F57" s="100">
        <v>2012</v>
      </c>
      <c r="G57" s="98">
        <v>147.393</v>
      </c>
      <c r="H57" s="100">
        <v>2012</v>
      </c>
      <c r="I57" s="98">
        <v>147.45500000000001</v>
      </c>
      <c r="J57" s="100">
        <v>2021</v>
      </c>
      <c r="K57" s="98"/>
      <c r="L57" s="98">
        <v>147.45500000000001</v>
      </c>
      <c r="M57" s="98">
        <v>147.393</v>
      </c>
      <c r="N57" s="98">
        <v>147.31700000000001</v>
      </c>
      <c r="O57" s="98">
        <v>146.78800000000001</v>
      </c>
      <c r="P57" s="98">
        <v>146.714</v>
      </c>
      <c r="Q57" s="98">
        <v>146.69900000000001</v>
      </c>
      <c r="R57" s="101">
        <v>146.428</v>
      </c>
      <c r="S57" s="98">
        <v>146.23099999999999</v>
      </c>
      <c r="T57" s="98">
        <v>146.02199999999999</v>
      </c>
      <c r="U57" s="98">
        <v>145.68199999999999</v>
      </c>
      <c r="V57" s="98">
        <v>145.471</v>
      </c>
      <c r="W57" s="98">
        <v>145.41</v>
      </c>
      <c r="X57" s="98">
        <v>145.30000000000001</v>
      </c>
      <c r="Y57" s="98">
        <v>145.08000000000001</v>
      </c>
      <c r="Z57" s="98">
        <v>144.96100000000001</v>
      </c>
      <c r="AA57" s="98">
        <v>144.863</v>
      </c>
      <c r="AB57" s="102">
        <v>144.66300000000001</v>
      </c>
      <c r="AC57" s="98">
        <v>144.55000000000001</v>
      </c>
      <c r="AD57" s="98">
        <v>144.34299999999999</v>
      </c>
      <c r="AE57" s="98">
        <v>144.208</v>
      </c>
      <c r="AF57" s="103"/>
      <c r="AG57" s="98">
        <f>O57-M57</f>
        <v>-0.60499999999998977</v>
      </c>
      <c r="AH57" s="104">
        <f t="shared" ref="AH57:AH74" si="47">Q57-O57</f>
        <v>-8.8999999999998636E-2</v>
      </c>
      <c r="AI57" s="104">
        <f t="shared" ref="AI57:AI74" si="48">S57-Q57</f>
        <v>-0.46800000000001774</v>
      </c>
      <c r="AJ57" s="104">
        <f t="shared" ref="AJ57:AJ79" si="49">U57-S57</f>
        <v>-0.54900000000000659</v>
      </c>
      <c r="AK57" s="104">
        <f t="shared" ref="AK57:AK71" si="50">W57-U57</f>
        <v>-0.27199999999999136</v>
      </c>
      <c r="AL57" s="104">
        <f t="shared" si="36"/>
        <v>-0.32999999999998408</v>
      </c>
      <c r="AM57" s="104">
        <f t="shared" si="37"/>
        <v>-0.21700000000001296</v>
      </c>
      <c r="AN57" s="104">
        <f t="shared" si="38"/>
        <v>-0.19999999999998863</v>
      </c>
      <c r="AO57" s="98">
        <f t="shared" si="4"/>
        <v>-0.3200000000000216</v>
      </c>
      <c r="AP57" s="103">
        <f t="shared" si="1"/>
        <v>-0.33888888888889013</v>
      </c>
      <c r="AQ57" s="105">
        <f t="shared" ref="AQ57:AQ74" si="51">N57-L57</f>
        <v>-0.13800000000000523</v>
      </c>
      <c r="AR57" s="104">
        <f t="shared" ref="AR57:AR74" si="52">P57-N57</f>
        <v>-0.60300000000000864</v>
      </c>
      <c r="AS57" s="104">
        <f t="shared" ref="AS57:AS74" si="53">R57-P57</f>
        <v>-0.28600000000000136</v>
      </c>
      <c r="AT57" s="104">
        <f t="shared" ref="AT57:AT74" si="54">T57-R57</f>
        <v>-0.40600000000000591</v>
      </c>
      <c r="AU57" s="104">
        <f t="shared" ref="AU57:AU73" si="55">V57-T57</f>
        <v>-0.55099999999998772</v>
      </c>
      <c r="AV57" s="104">
        <f t="shared" ref="AV57:AV83" si="56">X57-V57</f>
        <v>-0.17099999999999227</v>
      </c>
      <c r="AW57" s="104">
        <f t="shared" si="41"/>
        <v>-0.33899999999999864</v>
      </c>
      <c r="AX57" s="104">
        <f t="shared" si="42"/>
        <v>-0.20550000000000068</v>
      </c>
      <c r="AY57" s="104">
        <f t="shared" si="6"/>
        <v>-0.34200000000001296</v>
      </c>
      <c r="AZ57" s="104">
        <f t="shared" si="7"/>
        <v>-0.32470000000000143</v>
      </c>
    </row>
    <row r="58" spans="1:52" x14ac:dyDescent="0.3">
      <c r="A58" s="97">
        <v>1009</v>
      </c>
      <c r="B58" s="98">
        <v>2233366.861</v>
      </c>
      <c r="C58" s="98">
        <v>6122386.6710000001</v>
      </c>
      <c r="D58" s="98">
        <v>127.142</v>
      </c>
      <c r="E58" s="99" t="s">
        <v>26</v>
      </c>
      <c r="F58" s="100">
        <v>2012</v>
      </c>
      <c r="G58" s="98">
        <v>129.38800000000001</v>
      </c>
      <c r="H58" s="100">
        <v>2012</v>
      </c>
      <c r="I58" s="98">
        <v>129.43899999999999</v>
      </c>
      <c r="J58" s="100">
        <v>2021</v>
      </c>
      <c r="K58" s="98"/>
      <c r="L58" s="98">
        <v>129.43899999999999</v>
      </c>
      <c r="M58" s="98">
        <v>129.38800000000001</v>
      </c>
      <c r="N58" s="98">
        <v>129.27199999999999</v>
      </c>
      <c r="O58" s="98">
        <v>128.97900000000001</v>
      </c>
      <c r="P58" s="98">
        <v>128.81899999999999</v>
      </c>
      <c r="Q58" s="98">
        <v>128.83099999999999</v>
      </c>
      <c r="R58" s="101">
        <v>128.46</v>
      </c>
      <c r="S58" s="98">
        <v>128.26599999999999</v>
      </c>
      <c r="T58" s="101">
        <v>128.23400000000001</v>
      </c>
      <c r="U58" s="98">
        <v>128.00800000000001</v>
      </c>
      <c r="V58" s="98">
        <v>127.89</v>
      </c>
      <c r="W58" s="98">
        <v>127.9</v>
      </c>
      <c r="X58" s="98">
        <v>127.851</v>
      </c>
      <c r="Y58" s="98">
        <v>127.679</v>
      </c>
      <c r="Z58" s="98">
        <v>127.645</v>
      </c>
      <c r="AA58" s="98">
        <v>127.547</v>
      </c>
      <c r="AB58" s="102">
        <v>127.389</v>
      </c>
      <c r="AC58" s="98">
        <v>127.28700000000001</v>
      </c>
      <c r="AD58" s="98">
        <v>127.142</v>
      </c>
      <c r="AE58" s="98">
        <v>127.057</v>
      </c>
      <c r="AF58" s="103"/>
      <c r="AG58" s="98">
        <f>O58-M58</f>
        <v>-0.40899999999999181</v>
      </c>
      <c r="AH58" s="104">
        <f t="shared" si="47"/>
        <v>-0.14800000000002456</v>
      </c>
      <c r="AI58" s="104">
        <f t="shared" si="48"/>
        <v>-0.56499999999999773</v>
      </c>
      <c r="AJ58" s="104">
        <f t="shared" si="49"/>
        <v>-0.25799999999998136</v>
      </c>
      <c r="AK58" s="104">
        <f t="shared" si="50"/>
        <v>-0.10800000000000409</v>
      </c>
      <c r="AL58" s="104">
        <f t="shared" si="36"/>
        <v>-0.22100000000000364</v>
      </c>
      <c r="AM58" s="104">
        <f t="shared" si="37"/>
        <v>-0.132000000000005</v>
      </c>
      <c r="AN58" s="104">
        <f t="shared" si="38"/>
        <v>-0.15800000000000125</v>
      </c>
      <c r="AO58" s="98">
        <f t="shared" si="4"/>
        <v>-0.24699999999999989</v>
      </c>
      <c r="AP58" s="103">
        <f t="shared" si="1"/>
        <v>-0.24955555555555659</v>
      </c>
      <c r="AQ58" s="105">
        <f t="shared" si="51"/>
        <v>-0.16700000000000159</v>
      </c>
      <c r="AR58" s="104">
        <f t="shared" si="52"/>
        <v>-0.45300000000000296</v>
      </c>
      <c r="AS58" s="104">
        <f t="shared" si="53"/>
        <v>-0.35899999999998045</v>
      </c>
      <c r="AT58" s="104">
        <f t="shared" si="54"/>
        <v>-0.22599999999999909</v>
      </c>
      <c r="AU58" s="104">
        <f t="shared" si="55"/>
        <v>-0.3440000000000083</v>
      </c>
      <c r="AV58" s="104">
        <f t="shared" si="56"/>
        <v>-3.9000000000001478E-2</v>
      </c>
      <c r="AW58" s="104">
        <f t="shared" si="41"/>
        <v>-0.20600000000000307</v>
      </c>
      <c r="AX58" s="104">
        <f t="shared" si="42"/>
        <v>-0.17899999999999494</v>
      </c>
      <c r="AY58" s="104">
        <f t="shared" si="6"/>
        <v>-0.23000000000000398</v>
      </c>
      <c r="AZ58" s="104">
        <f t="shared" si="7"/>
        <v>-0.23819999999999908</v>
      </c>
    </row>
    <row r="59" spans="1:52" x14ac:dyDescent="0.3">
      <c r="A59" s="10" t="s">
        <v>71</v>
      </c>
      <c r="B59" s="64">
        <v>2241368.2820000001</v>
      </c>
      <c r="C59" s="64">
        <v>6157691.8480000002</v>
      </c>
      <c r="D59" s="64">
        <v>141.70399999999998</v>
      </c>
      <c r="E59" s="10" t="s">
        <v>72</v>
      </c>
      <c r="F59" s="100">
        <v>2012</v>
      </c>
      <c r="G59" s="98">
        <v>146.75399999999999</v>
      </c>
      <c r="H59" s="100">
        <v>2012</v>
      </c>
      <c r="I59" s="98">
        <v>147.08500000000001</v>
      </c>
      <c r="J59" s="100">
        <v>2021</v>
      </c>
      <c r="K59" s="98"/>
      <c r="L59" s="98">
        <v>147.08500000000001</v>
      </c>
      <c r="M59" s="98">
        <v>146.75399999999999</v>
      </c>
      <c r="N59" s="98">
        <v>146.453</v>
      </c>
      <c r="O59" s="98">
        <v>145.941</v>
      </c>
      <c r="P59" s="98">
        <v>145.679</v>
      </c>
      <c r="Q59" s="98">
        <v>145.52199999999999</v>
      </c>
      <c r="R59" s="101">
        <v>145.08000000000001</v>
      </c>
      <c r="S59" s="98">
        <v>144.75099999999998</v>
      </c>
      <c r="T59" s="98">
        <v>144.393</v>
      </c>
      <c r="U59" s="104">
        <f>151.881-7.877</f>
        <v>144.00399999999999</v>
      </c>
      <c r="V59" s="98">
        <f>151.558-7.877</f>
        <v>143.68099999999998</v>
      </c>
      <c r="W59" s="98">
        <f>151.42-7.877</f>
        <v>143.54299999999998</v>
      </c>
      <c r="X59" s="98">
        <f>151.083-7.877</f>
        <v>143.20599999999999</v>
      </c>
      <c r="Y59" s="98">
        <f>150.822-7.877</f>
        <v>142.94499999999999</v>
      </c>
      <c r="Z59" s="98">
        <f>150.55-7.877</f>
        <v>142.673</v>
      </c>
      <c r="AA59" s="98">
        <f>150.397-7.877</f>
        <v>142.51999999999998</v>
      </c>
      <c r="AB59" s="102">
        <v>142.16999999999999</v>
      </c>
      <c r="AC59" s="98">
        <f>149.802-7.877</f>
        <v>141.92499999999998</v>
      </c>
      <c r="AD59" s="98">
        <f>149.581-7.877</f>
        <v>141.70399999999998</v>
      </c>
      <c r="AE59" s="98">
        <f>149.367-7.877</f>
        <v>141.48999999999998</v>
      </c>
      <c r="AF59" s="103"/>
      <c r="AG59" s="98">
        <f>O59-M59</f>
        <v>-0.81299999999998818</v>
      </c>
      <c r="AH59" s="104">
        <f t="shared" si="47"/>
        <v>-0.41900000000001114</v>
      </c>
      <c r="AI59" s="104">
        <f t="shared" si="48"/>
        <v>-0.77100000000001501</v>
      </c>
      <c r="AJ59" s="104">
        <f t="shared" si="49"/>
        <v>-0.74699999999998568</v>
      </c>
      <c r="AK59" s="104">
        <f t="shared" si="50"/>
        <v>-0.46100000000001273</v>
      </c>
      <c r="AL59" s="104">
        <f t="shared" si="36"/>
        <v>-0.59799999999998477</v>
      </c>
      <c r="AM59" s="104">
        <f t="shared" si="37"/>
        <v>-0.42500000000001137</v>
      </c>
      <c r="AN59" s="104">
        <f t="shared" si="38"/>
        <v>-0.34999999999999432</v>
      </c>
      <c r="AO59" s="98">
        <f t="shared" si="4"/>
        <v>-0.46600000000000819</v>
      </c>
      <c r="AP59" s="103">
        <f t="shared" si="1"/>
        <v>-0.56111111111111234</v>
      </c>
      <c r="AQ59" s="105">
        <f t="shared" si="51"/>
        <v>-0.632000000000005</v>
      </c>
      <c r="AR59" s="104">
        <f t="shared" si="52"/>
        <v>-0.77400000000000091</v>
      </c>
      <c r="AS59" s="104">
        <f t="shared" si="53"/>
        <v>-0.59899999999998954</v>
      </c>
      <c r="AT59" s="104">
        <f t="shared" si="54"/>
        <v>-0.68700000000001182</v>
      </c>
      <c r="AU59" s="104">
        <f t="shared" si="55"/>
        <v>-0.71200000000001751</v>
      </c>
      <c r="AV59" s="104">
        <f t="shared" si="56"/>
        <v>-0.47499999999999432</v>
      </c>
      <c r="AW59" s="104">
        <f t="shared" si="41"/>
        <v>-0.53299999999998704</v>
      </c>
      <c r="AX59" s="104">
        <f t="shared" si="42"/>
        <v>-0.37400000000000944</v>
      </c>
      <c r="AY59" s="104">
        <f t="shared" si="6"/>
        <v>-0.43500000000000227</v>
      </c>
      <c r="AZ59" s="104">
        <f t="shared" si="7"/>
        <v>-0.55950000000000277</v>
      </c>
    </row>
    <row r="60" spans="1:52" x14ac:dyDescent="0.3">
      <c r="A60" s="10" t="s">
        <v>73</v>
      </c>
      <c r="B60" s="64">
        <v>2248691.86</v>
      </c>
      <c r="C60" s="64">
        <v>6157718.29</v>
      </c>
      <c r="D60" s="64">
        <v>145.21700000000001</v>
      </c>
      <c r="E60" s="10" t="s">
        <v>74</v>
      </c>
      <c r="F60" s="100">
        <v>2012</v>
      </c>
      <c r="G60" s="98">
        <v>150.39500000000001</v>
      </c>
      <c r="H60" s="100">
        <v>2012</v>
      </c>
      <c r="I60" s="98">
        <v>150.631</v>
      </c>
      <c r="J60" s="100">
        <v>2021</v>
      </c>
      <c r="K60" s="98"/>
      <c r="L60" s="98">
        <v>150.631</v>
      </c>
      <c r="M60" s="98">
        <v>150.39500000000001</v>
      </c>
      <c r="N60" s="98">
        <v>149.96600000000001</v>
      </c>
      <c r="O60" s="98">
        <v>149.50399999999999</v>
      </c>
      <c r="P60" s="98">
        <v>149.11100000000002</v>
      </c>
      <c r="Q60" s="98">
        <v>148.96100000000001</v>
      </c>
      <c r="R60" s="101">
        <v>148.43</v>
      </c>
      <c r="S60" s="98">
        <v>148.1</v>
      </c>
      <c r="T60" s="98">
        <v>147.774</v>
      </c>
      <c r="U60" s="104">
        <f>149.585-2.177</f>
        <v>147.40800000000002</v>
      </c>
      <c r="V60" s="98">
        <f>149.287-2.177</f>
        <v>147.11000000000001</v>
      </c>
      <c r="W60" s="98">
        <f>149.22-2.177</f>
        <v>147.04300000000001</v>
      </c>
      <c r="X60" s="98">
        <f>148.905-2.177</f>
        <v>146.72800000000001</v>
      </c>
      <c r="Y60" s="98">
        <f>148.615-2.177</f>
        <v>146.43800000000002</v>
      </c>
      <c r="Z60" s="98">
        <f>148.38-2.177</f>
        <v>146.203</v>
      </c>
      <c r="AA60" s="98">
        <f>148.274-2.177</f>
        <v>146.09700000000001</v>
      </c>
      <c r="AB60" s="102">
        <v>145.762</v>
      </c>
      <c r="AC60" s="98">
        <f>147.61-2.177</f>
        <v>145.43300000000002</v>
      </c>
      <c r="AD60" s="98">
        <f>147.394-2.177</f>
        <v>145.21700000000001</v>
      </c>
      <c r="AE60" s="98">
        <f>147.038-2.177</f>
        <v>144.86100000000002</v>
      </c>
      <c r="AF60" s="103"/>
      <c r="AG60" s="98">
        <f>(N60-L60)/(12/12)</f>
        <v>-0.66499999999999204</v>
      </c>
      <c r="AH60" s="104">
        <f t="shared" si="47"/>
        <v>-0.54299999999997794</v>
      </c>
      <c r="AI60" s="104">
        <f t="shared" si="48"/>
        <v>-0.86100000000001842</v>
      </c>
      <c r="AJ60" s="104">
        <f t="shared" si="49"/>
        <v>-0.69199999999997885</v>
      </c>
      <c r="AK60" s="104">
        <f t="shared" si="50"/>
        <v>-0.36500000000000909</v>
      </c>
      <c r="AL60" s="104">
        <f t="shared" si="36"/>
        <v>-0.60499999999998977</v>
      </c>
      <c r="AM60" s="104">
        <f t="shared" si="37"/>
        <v>-0.34100000000000819</v>
      </c>
      <c r="AN60" s="104">
        <f t="shared" si="38"/>
        <v>-0.33500000000000796</v>
      </c>
      <c r="AO60" s="98">
        <f t="shared" si="4"/>
        <v>-0.54499999999998749</v>
      </c>
      <c r="AP60" s="103">
        <f t="shared" si="1"/>
        <v>-0.57533333333333303</v>
      </c>
      <c r="AQ60" s="105">
        <f t="shared" si="51"/>
        <v>-0.66499999999999204</v>
      </c>
      <c r="AR60" s="104">
        <f t="shared" si="52"/>
        <v>-0.85499999999998977</v>
      </c>
      <c r="AS60" s="104">
        <f t="shared" si="53"/>
        <v>-0.6810000000000116</v>
      </c>
      <c r="AT60" s="104">
        <f t="shared" si="54"/>
        <v>-0.65600000000000591</v>
      </c>
      <c r="AU60" s="104">
        <f t="shared" si="55"/>
        <v>-0.66399999999998727</v>
      </c>
      <c r="AV60" s="104">
        <f t="shared" si="56"/>
        <v>-0.382000000000005</v>
      </c>
      <c r="AW60" s="104">
        <f t="shared" si="41"/>
        <v>-0.52500000000000568</v>
      </c>
      <c r="AX60" s="104">
        <f t="shared" si="42"/>
        <v>-0.38499999999999091</v>
      </c>
      <c r="AY60" s="104">
        <f t="shared" si="6"/>
        <v>-0.57200000000000273</v>
      </c>
      <c r="AZ60" s="104">
        <f t="shared" si="7"/>
        <v>-0.57699999999999818</v>
      </c>
    </row>
    <row r="61" spans="1:52" x14ac:dyDescent="0.3">
      <c r="A61" s="10" t="s">
        <v>75</v>
      </c>
      <c r="B61" s="64">
        <v>2265037.7459999998</v>
      </c>
      <c r="C61" s="64">
        <v>6131551.6009999998</v>
      </c>
      <c r="D61" s="64">
        <v>124.13799999999999</v>
      </c>
      <c r="E61" s="10" t="s">
        <v>80</v>
      </c>
      <c r="F61" s="100">
        <v>2012</v>
      </c>
      <c r="G61" s="98">
        <v>128.96</v>
      </c>
      <c r="H61" s="100">
        <v>2012</v>
      </c>
      <c r="I61" s="98">
        <v>129.24100000000001</v>
      </c>
      <c r="J61" s="100">
        <v>2021</v>
      </c>
      <c r="K61" s="98"/>
      <c r="L61" s="98">
        <v>129.24100000000001</v>
      </c>
      <c r="M61" s="98">
        <v>128.96</v>
      </c>
      <c r="N61" s="98">
        <v>128.55099999999999</v>
      </c>
      <c r="O61" s="98">
        <v>128.00700000000001</v>
      </c>
      <c r="P61" s="98">
        <v>127.70599999999999</v>
      </c>
      <c r="Q61" s="98">
        <v>127.53399999999999</v>
      </c>
      <c r="R61" s="101">
        <v>126.92</v>
      </c>
      <c r="S61" s="98">
        <v>126.61399999999999</v>
      </c>
      <c r="T61" s="98">
        <v>126.32799999999999</v>
      </c>
      <c r="U61" s="104">
        <f>125.37+0.633</f>
        <v>126.003</v>
      </c>
      <c r="V61" s="98">
        <f>125.192+0.633</f>
        <v>125.82499999999999</v>
      </c>
      <c r="W61" s="98">
        <f>125.02+0.633</f>
        <v>125.65299999999999</v>
      </c>
      <c r="X61" s="98">
        <f>124.821+0.633</f>
        <v>125.45399999999999</v>
      </c>
      <c r="Y61" s="98">
        <f>124.678+0.663</f>
        <v>125.34099999999999</v>
      </c>
      <c r="Z61" s="98">
        <f>124.6+0.663</f>
        <v>125.26299999999999</v>
      </c>
      <c r="AA61" s="98">
        <f>124.526+0.663</f>
        <v>125.18899999999999</v>
      </c>
      <c r="AB61" s="102">
        <v>124.62899999999999</v>
      </c>
      <c r="AC61" s="98">
        <f>123.645+0.633</f>
        <v>124.27799999999999</v>
      </c>
      <c r="AD61" s="98">
        <f>123.505+0.633</f>
        <v>124.13799999999999</v>
      </c>
      <c r="AE61" s="98">
        <f>123.097+0.633</f>
        <v>123.72999999999999</v>
      </c>
      <c r="AF61" s="103"/>
      <c r="AG61" s="98">
        <f>(N61-L61)/(12/12)</f>
        <v>-0.69000000000002615</v>
      </c>
      <c r="AH61" s="104">
        <f t="shared" si="47"/>
        <v>-0.47300000000001319</v>
      </c>
      <c r="AI61" s="104">
        <f t="shared" si="48"/>
        <v>-0.92000000000000171</v>
      </c>
      <c r="AJ61" s="104">
        <f t="shared" si="49"/>
        <v>-0.61099999999999</v>
      </c>
      <c r="AK61" s="104">
        <f t="shared" si="50"/>
        <v>-0.35000000000000853</v>
      </c>
      <c r="AL61" s="104">
        <f t="shared" si="36"/>
        <v>-0.31199999999999761</v>
      </c>
      <c r="AM61" s="104">
        <f t="shared" si="37"/>
        <v>-0.15200000000000102</v>
      </c>
      <c r="AN61" s="104">
        <f t="shared" si="38"/>
        <v>-0.56000000000000227</v>
      </c>
      <c r="AO61" s="98">
        <f t="shared" si="4"/>
        <v>-0.49099999999999966</v>
      </c>
      <c r="AP61" s="103">
        <f t="shared" si="1"/>
        <v>-0.53577777777777968</v>
      </c>
      <c r="AQ61" s="105">
        <f t="shared" si="51"/>
        <v>-0.69000000000002615</v>
      </c>
      <c r="AR61" s="104">
        <f t="shared" si="52"/>
        <v>-0.84499999999999886</v>
      </c>
      <c r="AS61" s="104">
        <f t="shared" si="53"/>
        <v>-0.78599999999998715</v>
      </c>
      <c r="AT61" s="104">
        <f t="shared" si="54"/>
        <v>-0.59200000000001296</v>
      </c>
      <c r="AU61" s="104">
        <f t="shared" si="55"/>
        <v>-0.50300000000000011</v>
      </c>
      <c r="AV61" s="104">
        <f t="shared" si="56"/>
        <v>-0.37099999999999511</v>
      </c>
      <c r="AW61" s="104">
        <f t="shared" si="41"/>
        <v>-0.1910000000000025</v>
      </c>
      <c r="AX61" s="104">
        <f t="shared" si="42"/>
        <v>-0.49249999999999972</v>
      </c>
      <c r="AY61" s="104">
        <f t="shared" si="6"/>
        <v>-0.54800000000000182</v>
      </c>
      <c r="AZ61" s="104">
        <f t="shared" si="7"/>
        <v>-0.55110000000000237</v>
      </c>
    </row>
    <row r="62" spans="1:52" x14ac:dyDescent="0.3">
      <c r="A62" s="97">
        <v>1108</v>
      </c>
      <c r="B62" s="98">
        <v>2361311.9679999999</v>
      </c>
      <c r="C62" s="98">
        <v>6086633.8090000004</v>
      </c>
      <c r="D62" s="98">
        <v>123.411</v>
      </c>
      <c r="E62" s="99" t="s">
        <v>27</v>
      </c>
      <c r="F62" s="100">
        <v>2012</v>
      </c>
      <c r="G62" s="98">
        <v>123.78100000000001</v>
      </c>
      <c r="H62" s="100">
        <v>2012</v>
      </c>
      <c r="I62" s="98">
        <v>123.751</v>
      </c>
      <c r="J62" s="100">
        <v>2021</v>
      </c>
      <c r="K62" s="98"/>
      <c r="L62" s="98">
        <v>123.751</v>
      </c>
      <c r="M62" s="98">
        <v>123.78100000000001</v>
      </c>
      <c r="N62" s="98">
        <v>123.747</v>
      </c>
      <c r="O62" s="98">
        <v>123.568</v>
      </c>
      <c r="P62" s="98">
        <v>123.779</v>
      </c>
      <c r="Q62" s="98">
        <v>123.785</v>
      </c>
      <c r="R62" s="101">
        <v>123.71299999999999</v>
      </c>
      <c r="S62" s="98">
        <v>123.626</v>
      </c>
      <c r="T62" s="101">
        <v>123.611</v>
      </c>
      <c r="U62" s="98">
        <v>123.636</v>
      </c>
      <c r="V62" s="98">
        <v>123.67100000000001</v>
      </c>
      <c r="W62" s="98">
        <v>123.63</v>
      </c>
      <c r="X62" s="98">
        <v>123.51</v>
      </c>
      <c r="Y62" s="98">
        <v>123.517</v>
      </c>
      <c r="Z62" s="98">
        <v>123.529</v>
      </c>
      <c r="AA62" s="98">
        <v>123.55</v>
      </c>
      <c r="AB62" s="102">
        <v>123.54</v>
      </c>
      <c r="AC62" s="98">
        <v>123.369</v>
      </c>
      <c r="AD62" s="98">
        <v>123.411</v>
      </c>
      <c r="AE62" s="98">
        <v>123.29</v>
      </c>
      <c r="AF62" s="103"/>
      <c r="AG62" s="98">
        <f t="shared" ref="AG62:AG74" si="57">O62-M62</f>
        <v>-0.21300000000000807</v>
      </c>
      <c r="AH62" s="104">
        <f t="shared" si="47"/>
        <v>0.21699999999999875</v>
      </c>
      <c r="AI62" s="104">
        <f t="shared" si="48"/>
        <v>-0.15899999999999181</v>
      </c>
      <c r="AJ62" s="104">
        <f t="shared" si="49"/>
        <v>9.9999999999909051E-3</v>
      </c>
      <c r="AK62" s="104">
        <f t="shared" si="50"/>
        <v>-6.0000000000002274E-3</v>
      </c>
      <c r="AL62" s="104">
        <f t="shared" si="36"/>
        <v>-0.11299999999999955</v>
      </c>
      <c r="AM62" s="104">
        <f t="shared" si="37"/>
        <v>3.3000000000001251E-2</v>
      </c>
      <c r="AN62" s="104">
        <f t="shared" si="38"/>
        <v>-9.9999999999909051E-3</v>
      </c>
      <c r="AO62" s="98">
        <f t="shared" si="4"/>
        <v>-0.12900000000000489</v>
      </c>
      <c r="AP62" s="103">
        <f t="shared" si="1"/>
        <v>-4.1111111111111619E-2</v>
      </c>
      <c r="AQ62" s="105">
        <f t="shared" si="51"/>
        <v>-4.0000000000048885E-3</v>
      </c>
      <c r="AR62" s="104">
        <f t="shared" si="52"/>
        <v>3.1999999999996476E-2</v>
      </c>
      <c r="AS62" s="104">
        <f t="shared" si="53"/>
        <v>-6.6000000000002501E-2</v>
      </c>
      <c r="AT62" s="104">
        <f t="shared" si="54"/>
        <v>-0.10199999999998965</v>
      </c>
      <c r="AU62" s="104">
        <f t="shared" si="55"/>
        <v>6.0000000000002274E-2</v>
      </c>
      <c r="AV62" s="104">
        <f t="shared" si="56"/>
        <v>-0.16100000000000136</v>
      </c>
      <c r="AW62" s="104">
        <f t="shared" si="41"/>
        <v>1.8999999999991246E-2</v>
      </c>
      <c r="AX62" s="104">
        <f t="shared" si="42"/>
        <v>-7.9999999999998295E-2</v>
      </c>
      <c r="AY62" s="104">
        <f t="shared" si="6"/>
        <v>-7.899999999999352E-2</v>
      </c>
      <c r="AZ62" s="104">
        <f t="shared" si="7"/>
        <v>-4.6099999999999849E-2</v>
      </c>
    </row>
    <row r="63" spans="1:52" x14ac:dyDescent="0.3">
      <c r="A63" s="97">
        <v>2062</v>
      </c>
      <c r="B63" s="123">
        <v>2239273.1749999998</v>
      </c>
      <c r="C63" s="124">
        <v>6146218.699</v>
      </c>
      <c r="D63" s="98">
        <v>138.215</v>
      </c>
      <c r="E63" s="99" t="s">
        <v>110</v>
      </c>
      <c r="F63" s="100">
        <v>2012</v>
      </c>
      <c r="G63" s="98">
        <v>141.346</v>
      </c>
      <c r="H63" s="100">
        <v>2012</v>
      </c>
      <c r="I63" s="98">
        <v>141.374</v>
      </c>
      <c r="J63" s="100">
        <v>2021</v>
      </c>
      <c r="K63" s="98"/>
      <c r="L63" s="98">
        <v>141.374</v>
      </c>
      <c r="M63" s="98">
        <v>141.346</v>
      </c>
      <c r="N63" s="98">
        <v>141.18899999999999</v>
      </c>
      <c r="O63" s="98">
        <v>140.86199999999999</v>
      </c>
      <c r="P63" s="98">
        <v>140.679</v>
      </c>
      <c r="Q63" s="98">
        <v>140.68299999999999</v>
      </c>
      <c r="R63" s="101">
        <v>140.42500000000001</v>
      </c>
      <c r="S63" s="98">
        <v>140.178</v>
      </c>
      <c r="T63" s="98">
        <v>139.97399999999999</v>
      </c>
      <c r="U63" s="98">
        <v>139.69</v>
      </c>
      <c r="V63" s="98">
        <v>139.55199999999999</v>
      </c>
      <c r="W63" s="98">
        <v>139.47999999999999</v>
      </c>
      <c r="X63" s="98">
        <v>139.328</v>
      </c>
      <c r="Y63" s="106"/>
      <c r="Z63" s="98">
        <v>139.08199999999999</v>
      </c>
      <c r="AA63" s="98">
        <v>138.86699999999999</v>
      </c>
      <c r="AB63" s="102"/>
      <c r="AC63" s="98">
        <v>139</v>
      </c>
      <c r="AD63" s="98">
        <v>138.215</v>
      </c>
      <c r="AE63" s="98"/>
      <c r="AF63" s="103"/>
      <c r="AG63" s="98">
        <f t="shared" si="57"/>
        <v>-0.48400000000000887</v>
      </c>
      <c r="AH63" s="104">
        <f t="shared" si="47"/>
        <v>-0.17900000000000205</v>
      </c>
      <c r="AI63" s="104">
        <f t="shared" si="48"/>
        <v>-0.50499999999999545</v>
      </c>
      <c r="AJ63" s="104">
        <f t="shared" si="49"/>
        <v>-0.48799999999999955</v>
      </c>
      <c r="AK63" s="104">
        <f t="shared" si="50"/>
        <v>-0.21000000000000796</v>
      </c>
      <c r="AL63" s="104"/>
      <c r="AM63" s="104"/>
      <c r="AN63" s="104"/>
      <c r="AO63" s="104"/>
      <c r="AP63" s="103"/>
      <c r="AQ63" s="105">
        <f t="shared" si="51"/>
        <v>-0.18500000000000227</v>
      </c>
      <c r="AR63" s="104">
        <f t="shared" si="52"/>
        <v>-0.50999999999999091</v>
      </c>
      <c r="AS63" s="104">
        <f t="shared" si="53"/>
        <v>-0.25399999999999068</v>
      </c>
      <c r="AT63" s="104">
        <f t="shared" si="54"/>
        <v>-0.45100000000002183</v>
      </c>
      <c r="AU63" s="104">
        <f t="shared" si="55"/>
        <v>-0.42199999999999704</v>
      </c>
      <c r="AV63" s="104">
        <f t="shared" si="56"/>
        <v>-0.22399999999998954</v>
      </c>
      <c r="AW63" s="104">
        <f t="shared" si="41"/>
        <v>-0.24600000000000932</v>
      </c>
      <c r="AX63" s="104">
        <f t="shared" si="42"/>
        <v>-4.0999999999996817E-2</v>
      </c>
      <c r="AY63" s="104"/>
      <c r="AZ63" s="104"/>
    </row>
    <row r="64" spans="1:52" x14ac:dyDescent="0.3">
      <c r="A64" s="97">
        <v>2065</v>
      </c>
      <c r="B64" s="98">
        <v>2322679.466</v>
      </c>
      <c r="C64" s="98">
        <v>6128257.3830000004</v>
      </c>
      <c r="D64" s="98">
        <v>143.47399999999999</v>
      </c>
      <c r="E64" s="99" t="s">
        <v>28</v>
      </c>
      <c r="F64" s="100">
        <v>2012</v>
      </c>
      <c r="G64" s="98">
        <v>146.024</v>
      </c>
      <c r="H64" s="100">
        <v>2012</v>
      </c>
      <c r="I64" s="98">
        <v>146.01599999999999</v>
      </c>
      <c r="J64" s="100">
        <v>2021</v>
      </c>
      <c r="K64" s="98"/>
      <c r="L64" s="98">
        <v>146.01599999999999</v>
      </c>
      <c r="M64" s="98">
        <v>146.024</v>
      </c>
      <c r="N64" s="98">
        <v>145.74600000000001</v>
      </c>
      <c r="O64" s="98">
        <v>145.44399999999999</v>
      </c>
      <c r="P64" s="98">
        <v>145.39699999999999</v>
      </c>
      <c r="Q64" s="98">
        <v>145.36099999999999</v>
      </c>
      <c r="R64" s="101">
        <v>144.94800000000001</v>
      </c>
      <c r="S64" s="98">
        <v>144.82400000000001</v>
      </c>
      <c r="T64" s="101">
        <v>144.71</v>
      </c>
      <c r="U64" s="98">
        <v>144.61699999999999</v>
      </c>
      <c r="V64" s="98">
        <v>144.495</v>
      </c>
      <c r="W64" s="98">
        <v>144.47999999999999</v>
      </c>
      <c r="X64" s="98">
        <v>144.25200000000001</v>
      </c>
      <c r="Y64" s="98">
        <v>144.233</v>
      </c>
      <c r="Z64" s="98">
        <v>144.09200000000001</v>
      </c>
      <c r="AA64" s="98">
        <v>144.07300000000001</v>
      </c>
      <c r="AB64" s="102">
        <v>143.87200000000001</v>
      </c>
      <c r="AC64" s="98">
        <v>143.59</v>
      </c>
      <c r="AD64" s="98">
        <v>143.47399999999999</v>
      </c>
      <c r="AE64" s="98">
        <v>143.08500000000001</v>
      </c>
      <c r="AF64" s="103"/>
      <c r="AG64" s="98">
        <f t="shared" si="57"/>
        <v>-0.58000000000001251</v>
      </c>
      <c r="AH64" s="104">
        <f t="shared" si="47"/>
        <v>-8.2999999999998408E-2</v>
      </c>
      <c r="AI64" s="104">
        <f t="shared" si="48"/>
        <v>-0.53699999999997772</v>
      </c>
      <c r="AJ64" s="104">
        <f t="shared" si="49"/>
        <v>-0.20700000000002206</v>
      </c>
      <c r="AK64" s="104">
        <f t="shared" si="50"/>
        <v>-0.13700000000000045</v>
      </c>
      <c r="AL64" s="104">
        <f t="shared" ref="AL64:AL83" si="58">Y64-W64</f>
        <v>-0.24699999999998568</v>
      </c>
      <c r="AM64" s="104">
        <f t="shared" ref="AM64:AM73" si="59">AA64-Y64</f>
        <v>-0.15999999999999659</v>
      </c>
      <c r="AN64" s="104">
        <f t="shared" ref="AN64:AN73" si="60">AB64-AA64</f>
        <v>-0.20099999999999341</v>
      </c>
      <c r="AO64" s="98">
        <f t="shared" si="4"/>
        <v>-0.39800000000002456</v>
      </c>
      <c r="AP64" s="103">
        <f t="shared" si="1"/>
        <v>-0.2833333333333346</v>
      </c>
      <c r="AQ64" s="105">
        <f t="shared" si="51"/>
        <v>-0.26999999999998181</v>
      </c>
      <c r="AR64" s="104">
        <f t="shared" si="52"/>
        <v>-0.34900000000001796</v>
      </c>
      <c r="AS64" s="104">
        <f t="shared" si="53"/>
        <v>-0.44899999999998386</v>
      </c>
      <c r="AT64" s="104">
        <f t="shared" si="54"/>
        <v>-0.23799999999999955</v>
      </c>
      <c r="AU64" s="104">
        <f t="shared" si="55"/>
        <v>-0.21500000000000341</v>
      </c>
      <c r="AV64" s="104">
        <f t="shared" si="56"/>
        <v>-0.242999999999995</v>
      </c>
      <c r="AW64" s="104">
        <f t="shared" si="41"/>
        <v>-0.15999999999999659</v>
      </c>
      <c r="AX64" s="104">
        <f t="shared" si="42"/>
        <v>-0.25100000000000477</v>
      </c>
      <c r="AY64" s="104">
        <f t="shared" si="6"/>
        <v>-0.50499999999999545</v>
      </c>
      <c r="AZ64" s="104">
        <f t="shared" si="7"/>
        <v>-0.29309999999999831</v>
      </c>
    </row>
    <row r="65" spans="1:52" x14ac:dyDescent="0.3">
      <c r="A65" s="97">
        <v>2076</v>
      </c>
      <c r="B65" s="98">
        <v>2280427.7710000002</v>
      </c>
      <c r="C65" s="98">
        <v>6163347.8150000004</v>
      </c>
      <c r="D65" s="98">
        <v>177.30600000000001</v>
      </c>
      <c r="E65" s="99" t="s">
        <v>76</v>
      </c>
      <c r="F65" s="100">
        <v>2012</v>
      </c>
      <c r="G65" s="98">
        <v>180.85499999999999</v>
      </c>
      <c r="H65" s="100">
        <v>2012</v>
      </c>
      <c r="I65" s="98">
        <v>180.94900000000001</v>
      </c>
      <c r="J65" s="100">
        <v>2021</v>
      </c>
      <c r="K65" s="98"/>
      <c r="L65" s="98">
        <v>180.94900000000001</v>
      </c>
      <c r="M65" s="98">
        <v>180.85499999999999</v>
      </c>
      <c r="N65" s="98">
        <v>180.67400000000001</v>
      </c>
      <c r="O65" s="98">
        <v>180.34399999999999</v>
      </c>
      <c r="P65" s="98">
        <v>180.22399999999999</v>
      </c>
      <c r="Q65" s="98">
        <v>180.119</v>
      </c>
      <c r="R65" s="101">
        <v>179.67599999999999</v>
      </c>
      <c r="S65" s="98">
        <v>179.36</v>
      </c>
      <c r="T65" s="98">
        <v>179.251</v>
      </c>
      <c r="U65" s="98">
        <v>178.92400000000001</v>
      </c>
      <c r="V65" s="98">
        <v>178.732</v>
      </c>
      <c r="W65" s="98">
        <v>178.66</v>
      </c>
      <c r="X65" s="98">
        <v>178.506</v>
      </c>
      <c r="Y65" s="98">
        <v>178.26300000000001</v>
      </c>
      <c r="Z65" s="98">
        <v>178.17</v>
      </c>
      <c r="AA65" s="98">
        <v>178.03800000000001</v>
      </c>
      <c r="AB65" s="102">
        <v>177.81399999999999</v>
      </c>
      <c r="AC65" s="98">
        <v>177.58699999999999</v>
      </c>
      <c r="AD65" s="98">
        <v>177.30600000000001</v>
      </c>
      <c r="AE65" s="98">
        <v>177.024</v>
      </c>
      <c r="AF65" s="103"/>
      <c r="AG65" s="98">
        <f t="shared" si="57"/>
        <v>-0.51099999999999568</v>
      </c>
      <c r="AH65" s="104">
        <f t="shared" si="47"/>
        <v>-0.22499999999999432</v>
      </c>
      <c r="AI65" s="104">
        <f t="shared" si="48"/>
        <v>-0.75899999999998613</v>
      </c>
      <c r="AJ65" s="104">
        <f t="shared" si="49"/>
        <v>-0.43600000000000705</v>
      </c>
      <c r="AK65" s="104">
        <f t="shared" si="50"/>
        <v>-0.26400000000001</v>
      </c>
      <c r="AL65" s="104">
        <f t="shared" si="58"/>
        <v>-0.39699999999999136</v>
      </c>
      <c r="AM65" s="104">
        <f t="shared" si="59"/>
        <v>-0.22499999999999432</v>
      </c>
      <c r="AN65" s="104">
        <f t="shared" si="60"/>
        <v>-0.22400000000001796</v>
      </c>
      <c r="AO65" s="98">
        <f t="shared" si="4"/>
        <v>-0.50799999999998136</v>
      </c>
      <c r="AP65" s="103">
        <f t="shared" si="1"/>
        <v>-0.39433333333333093</v>
      </c>
      <c r="AQ65" s="105">
        <f t="shared" si="51"/>
        <v>-0.27500000000000568</v>
      </c>
      <c r="AR65" s="104">
        <f t="shared" si="52"/>
        <v>-0.45000000000001705</v>
      </c>
      <c r="AS65" s="104">
        <f t="shared" si="53"/>
        <v>-0.54800000000000182</v>
      </c>
      <c r="AT65" s="104">
        <f t="shared" si="54"/>
        <v>-0.42499999999998295</v>
      </c>
      <c r="AU65" s="104">
        <f t="shared" si="55"/>
        <v>-0.51900000000000546</v>
      </c>
      <c r="AV65" s="104">
        <f t="shared" si="56"/>
        <v>-0.22599999999999909</v>
      </c>
      <c r="AW65" s="104">
        <f t="shared" si="41"/>
        <v>-0.33600000000001273</v>
      </c>
      <c r="AX65" s="104">
        <f t="shared" si="42"/>
        <v>-0.2914999999999992</v>
      </c>
      <c r="AY65" s="104">
        <f t="shared" si="6"/>
        <v>-0.56299999999998818</v>
      </c>
      <c r="AZ65" s="104">
        <f t="shared" si="7"/>
        <v>-0.39250000000000113</v>
      </c>
    </row>
    <row r="66" spans="1:52" x14ac:dyDescent="0.3">
      <c r="A66" s="97">
        <v>2107</v>
      </c>
      <c r="B66" s="98">
        <v>2099695.6880000001</v>
      </c>
      <c r="C66" s="98">
        <v>6220352.7110000001</v>
      </c>
      <c r="D66" s="98">
        <v>174.34299999999999</v>
      </c>
      <c r="E66" s="99" t="s">
        <v>77</v>
      </c>
      <c r="F66" s="100">
        <v>2012</v>
      </c>
      <c r="G66" s="98">
        <v>176.19399999999999</v>
      </c>
      <c r="H66" s="100">
        <v>2012</v>
      </c>
      <c r="I66" s="98">
        <v>176.244</v>
      </c>
      <c r="J66" s="100">
        <v>2021</v>
      </c>
      <c r="K66" s="98"/>
      <c r="L66" s="98">
        <v>176.244</v>
      </c>
      <c r="M66" s="98">
        <v>176.19399999999999</v>
      </c>
      <c r="N66" s="98">
        <v>176.119</v>
      </c>
      <c r="O66" s="98">
        <v>175.773</v>
      </c>
      <c r="P66" s="98">
        <v>175.53700000000001</v>
      </c>
      <c r="Q66" s="98">
        <v>175.65299999999999</v>
      </c>
      <c r="R66" s="101">
        <v>175.44900000000001</v>
      </c>
      <c r="S66" s="98">
        <v>175.25200000000001</v>
      </c>
      <c r="T66" s="101">
        <v>175.13499999999999</v>
      </c>
      <c r="U66" s="98">
        <v>174.94900000000001</v>
      </c>
      <c r="V66" s="98">
        <v>175.048</v>
      </c>
      <c r="W66" s="98">
        <v>174.99</v>
      </c>
      <c r="X66" s="98">
        <v>175.023</v>
      </c>
      <c r="Y66" s="98">
        <v>174.91300000000001</v>
      </c>
      <c r="Z66" s="98">
        <v>174.95699999999999</v>
      </c>
      <c r="AA66" s="98">
        <v>174.80699999999999</v>
      </c>
      <c r="AB66" s="102">
        <v>174.59100000000001</v>
      </c>
      <c r="AC66" s="98">
        <v>174.61699999999999</v>
      </c>
      <c r="AD66" s="98">
        <v>174.34299999999999</v>
      </c>
      <c r="AE66" s="98">
        <v>174.179</v>
      </c>
      <c r="AF66" s="103"/>
      <c r="AG66" s="98">
        <f t="shared" si="57"/>
        <v>-0.42099999999999227</v>
      </c>
      <c r="AH66" s="104">
        <f t="shared" si="47"/>
        <v>-0.12000000000000455</v>
      </c>
      <c r="AI66" s="104">
        <f t="shared" si="48"/>
        <v>-0.40099999999998204</v>
      </c>
      <c r="AJ66" s="104">
        <f t="shared" si="49"/>
        <v>-0.30299999999999727</v>
      </c>
      <c r="AK66" s="104">
        <f t="shared" si="50"/>
        <v>4.0999999999996817E-2</v>
      </c>
      <c r="AL66" s="104">
        <f t="shared" si="58"/>
        <v>-7.6999999999998181E-2</v>
      </c>
      <c r="AM66" s="104">
        <f t="shared" si="59"/>
        <v>-0.10600000000002296</v>
      </c>
      <c r="AN66" s="104">
        <f t="shared" si="60"/>
        <v>-0.21599999999997976</v>
      </c>
      <c r="AO66" s="98">
        <f t="shared" si="4"/>
        <v>-0.24800000000001887</v>
      </c>
      <c r="AP66" s="103">
        <f t="shared" si="1"/>
        <v>-0.20566666666666655</v>
      </c>
      <c r="AQ66" s="105">
        <f t="shared" si="51"/>
        <v>-0.125</v>
      </c>
      <c r="AR66" s="104">
        <f t="shared" si="52"/>
        <v>-0.58199999999999363</v>
      </c>
      <c r="AS66" s="104">
        <f t="shared" si="53"/>
        <v>-8.7999999999993861E-2</v>
      </c>
      <c r="AT66" s="104">
        <f t="shared" si="54"/>
        <v>-0.31400000000002137</v>
      </c>
      <c r="AU66" s="104">
        <f t="shared" si="55"/>
        <v>-8.6999999999989086E-2</v>
      </c>
      <c r="AV66" s="104">
        <f t="shared" si="56"/>
        <v>-2.5000000000005684E-2</v>
      </c>
      <c r="AW66" s="104">
        <f t="shared" ref="AW66:AW83" si="61">Z66-X66</f>
        <v>-6.6000000000002501E-2</v>
      </c>
      <c r="AX66" s="104">
        <f t="shared" si="42"/>
        <v>-0.17000000000000171</v>
      </c>
      <c r="AY66" s="104">
        <f t="shared" si="6"/>
        <v>-0.43799999999998818</v>
      </c>
      <c r="AZ66" s="104">
        <f t="shared" si="7"/>
        <v>-0.20649999999999977</v>
      </c>
    </row>
    <row r="67" spans="1:52" x14ac:dyDescent="0.3">
      <c r="A67" s="97">
        <v>2147</v>
      </c>
      <c r="B67" s="98">
        <v>2062741.547</v>
      </c>
      <c r="C67" s="98">
        <v>6223015.9630000005</v>
      </c>
      <c r="D67" s="98">
        <v>194.441</v>
      </c>
      <c r="E67" s="99" t="s">
        <v>29</v>
      </c>
      <c r="F67" s="100">
        <v>2012</v>
      </c>
      <c r="G67" s="98">
        <v>196.71700000000001</v>
      </c>
      <c r="H67" s="100">
        <v>2012</v>
      </c>
      <c r="I67" s="98">
        <v>196.79599999999999</v>
      </c>
      <c r="J67" s="100">
        <v>2021</v>
      </c>
      <c r="K67" s="98"/>
      <c r="L67" s="98">
        <v>196.79599999999999</v>
      </c>
      <c r="M67" s="98">
        <v>196.71700000000001</v>
      </c>
      <c r="N67" s="98">
        <v>196.62899999999999</v>
      </c>
      <c r="O67" s="98">
        <v>196.21700000000001</v>
      </c>
      <c r="P67" s="98">
        <v>195.95699999999999</v>
      </c>
      <c r="Q67" s="98">
        <v>195.95599999999999</v>
      </c>
      <c r="R67" s="101">
        <v>195.655</v>
      </c>
      <c r="S67" s="98">
        <v>195.43700000000001</v>
      </c>
      <c r="T67" s="98">
        <v>195.34299999999999</v>
      </c>
      <c r="U67" s="98">
        <v>195.07400000000001</v>
      </c>
      <c r="V67" s="98">
        <v>195.24100000000001</v>
      </c>
      <c r="W67" s="98">
        <v>195.2</v>
      </c>
      <c r="X67" s="98">
        <v>195.26300000000001</v>
      </c>
      <c r="Y67" s="98">
        <v>195.16499999999999</v>
      </c>
      <c r="Z67" s="98">
        <v>195.203</v>
      </c>
      <c r="AA67" s="98">
        <v>195.084</v>
      </c>
      <c r="AB67" s="102">
        <v>194.82400000000001</v>
      </c>
      <c r="AC67" s="98">
        <v>194.809</v>
      </c>
      <c r="AD67" s="98">
        <v>194.441</v>
      </c>
      <c r="AE67" s="98">
        <v>194.15299999999999</v>
      </c>
      <c r="AF67" s="103"/>
      <c r="AG67" s="98">
        <f t="shared" si="57"/>
        <v>-0.5</v>
      </c>
      <c r="AH67" s="104">
        <f t="shared" si="47"/>
        <v>-0.2610000000000241</v>
      </c>
      <c r="AI67" s="104">
        <f t="shared" si="48"/>
        <v>-0.51899999999997704</v>
      </c>
      <c r="AJ67" s="104">
        <f t="shared" si="49"/>
        <v>-0.36299999999999955</v>
      </c>
      <c r="AK67" s="104">
        <f t="shared" si="50"/>
        <v>0.12599999999997635</v>
      </c>
      <c r="AL67" s="104">
        <f t="shared" si="58"/>
        <v>-3.4999999999996589E-2</v>
      </c>
      <c r="AM67" s="104">
        <f t="shared" si="59"/>
        <v>-8.0999999999988859E-2</v>
      </c>
      <c r="AN67" s="104">
        <f t="shared" si="60"/>
        <v>-0.25999999999999091</v>
      </c>
      <c r="AO67" s="98">
        <f t="shared" si="4"/>
        <v>-0.38300000000000978</v>
      </c>
      <c r="AP67" s="103">
        <f t="shared" si="1"/>
        <v>-0.25288888888889005</v>
      </c>
      <c r="AQ67" s="105">
        <f t="shared" si="51"/>
        <v>-0.16700000000000159</v>
      </c>
      <c r="AR67" s="104">
        <f t="shared" si="52"/>
        <v>-0.67199999999999704</v>
      </c>
      <c r="AS67" s="104">
        <f t="shared" si="53"/>
        <v>-0.3019999999999925</v>
      </c>
      <c r="AT67" s="104">
        <f t="shared" si="54"/>
        <v>-0.31200000000001182</v>
      </c>
      <c r="AU67" s="104">
        <f t="shared" si="55"/>
        <v>-0.10199999999997544</v>
      </c>
      <c r="AV67" s="104">
        <f t="shared" si="56"/>
        <v>2.199999999999136E-2</v>
      </c>
      <c r="AW67" s="104">
        <f t="shared" si="61"/>
        <v>-6.0000000000002274E-2</v>
      </c>
      <c r="AX67" s="104">
        <f t="shared" si="42"/>
        <v>-0.19700000000000273</v>
      </c>
      <c r="AY67" s="104">
        <f t="shared" si="6"/>
        <v>-0.65600000000000591</v>
      </c>
      <c r="AZ67" s="104">
        <f t="shared" si="7"/>
        <v>-0.26430000000000009</v>
      </c>
    </row>
    <row r="68" spans="1:52" x14ac:dyDescent="0.3">
      <c r="A68" s="97">
        <v>2149</v>
      </c>
      <c r="B68" s="98">
        <v>2115864.8390000002</v>
      </c>
      <c r="C68" s="98">
        <v>6175004.2759999996</v>
      </c>
      <c r="D68" s="98">
        <v>164.03</v>
      </c>
      <c r="E68" s="99" t="s">
        <v>30</v>
      </c>
      <c r="F68" s="100">
        <v>2012</v>
      </c>
      <c r="G68" s="98">
        <v>165.95699999999999</v>
      </c>
      <c r="H68" s="100">
        <v>2012</v>
      </c>
      <c r="I68" s="98">
        <v>166.011</v>
      </c>
      <c r="J68" s="100">
        <v>2021</v>
      </c>
      <c r="K68" s="98"/>
      <c r="L68" s="98">
        <v>166.011</v>
      </c>
      <c r="M68" s="98">
        <v>165.95699999999999</v>
      </c>
      <c r="N68" s="98">
        <v>165.93</v>
      </c>
      <c r="O68" s="98">
        <v>165.58799999999999</v>
      </c>
      <c r="P68" s="98">
        <v>165.482</v>
      </c>
      <c r="Q68" s="98">
        <v>165.506</v>
      </c>
      <c r="R68" s="101">
        <v>165.334</v>
      </c>
      <c r="S68" s="98">
        <v>165.02</v>
      </c>
      <c r="T68" s="101">
        <v>165</v>
      </c>
      <c r="U68" s="98">
        <v>164.65899999999999</v>
      </c>
      <c r="V68" s="98">
        <v>164.74</v>
      </c>
      <c r="W68" s="98">
        <v>164.68</v>
      </c>
      <c r="X68" s="98">
        <v>164.87700000000001</v>
      </c>
      <c r="Y68" s="98">
        <v>164.62</v>
      </c>
      <c r="Z68" s="98">
        <v>164.67699999999999</v>
      </c>
      <c r="AA68" s="98">
        <v>164.57</v>
      </c>
      <c r="AB68" s="102">
        <v>164.35900000000001</v>
      </c>
      <c r="AC68" s="98">
        <v>164.333</v>
      </c>
      <c r="AD68" s="98">
        <v>164.03</v>
      </c>
      <c r="AE68" s="98">
        <v>163.87700000000001</v>
      </c>
      <c r="AF68" s="103"/>
      <c r="AG68" s="98">
        <f t="shared" si="57"/>
        <v>-0.36899999999999977</v>
      </c>
      <c r="AH68" s="104">
        <f t="shared" si="47"/>
        <v>-8.1999999999993634E-2</v>
      </c>
      <c r="AI68" s="104">
        <f t="shared" si="48"/>
        <v>-0.48599999999999</v>
      </c>
      <c r="AJ68" s="104">
        <f t="shared" si="49"/>
        <v>-0.36100000000001842</v>
      </c>
      <c r="AK68" s="104">
        <f t="shared" si="50"/>
        <v>2.1000000000015007E-2</v>
      </c>
      <c r="AL68" s="104">
        <f t="shared" si="58"/>
        <v>-6.0000000000002274E-2</v>
      </c>
      <c r="AM68" s="104">
        <f t="shared" si="59"/>
        <v>-5.0000000000011369E-2</v>
      </c>
      <c r="AN68" s="104">
        <f t="shared" si="60"/>
        <v>-0.21099999999998431</v>
      </c>
      <c r="AO68" s="98">
        <f t="shared" si="4"/>
        <v>-0.32900000000000773</v>
      </c>
      <c r="AP68" s="103">
        <f t="shared" si="1"/>
        <v>-0.21411111111111028</v>
      </c>
      <c r="AQ68" s="105">
        <f t="shared" si="51"/>
        <v>-8.0999999999988859E-2</v>
      </c>
      <c r="AR68" s="104">
        <f t="shared" si="52"/>
        <v>-0.4480000000000075</v>
      </c>
      <c r="AS68" s="104">
        <f t="shared" si="53"/>
        <v>-0.14799999999999613</v>
      </c>
      <c r="AT68" s="104">
        <f t="shared" si="54"/>
        <v>-0.33400000000000318</v>
      </c>
      <c r="AU68" s="104">
        <f t="shared" si="55"/>
        <v>-0.25999999999999091</v>
      </c>
      <c r="AV68" s="104">
        <f t="shared" si="56"/>
        <v>0.13700000000000045</v>
      </c>
      <c r="AW68" s="104">
        <f t="shared" si="61"/>
        <v>-0.20000000000001705</v>
      </c>
      <c r="AX68" s="104">
        <f t="shared" si="42"/>
        <v>-0.17199999999999704</v>
      </c>
      <c r="AY68" s="104">
        <f t="shared" si="6"/>
        <v>-0.45599999999998886</v>
      </c>
      <c r="AZ68" s="104">
        <f t="shared" si="7"/>
        <v>-0.21339999999999862</v>
      </c>
    </row>
    <row r="69" spans="1:52" x14ac:dyDescent="0.3">
      <c r="A69" s="97">
        <v>2160</v>
      </c>
      <c r="B69" s="98">
        <v>2078118.281</v>
      </c>
      <c r="C69" s="98">
        <v>6305388.2070000004</v>
      </c>
      <c r="D69" s="98">
        <v>231.869</v>
      </c>
      <c r="E69" s="99" t="s">
        <v>31</v>
      </c>
      <c r="F69" s="100">
        <v>2012</v>
      </c>
      <c r="G69" s="98">
        <v>233.017</v>
      </c>
      <c r="H69" s="100">
        <v>2012</v>
      </c>
      <c r="I69" s="98">
        <v>233.19</v>
      </c>
      <c r="J69" s="100">
        <v>2021</v>
      </c>
      <c r="K69" s="98"/>
      <c r="L69" s="98">
        <v>233.19</v>
      </c>
      <c r="M69" s="98">
        <v>233.017</v>
      </c>
      <c r="N69" s="98">
        <v>232.982</v>
      </c>
      <c r="O69" s="98">
        <v>232.66900000000001</v>
      </c>
      <c r="P69" s="98">
        <v>232.74</v>
      </c>
      <c r="Q69" s="98">
        <v>232.733</v>
      </c>
      <c r="R69" s="101">
        <v>232.73400000000001</v>
      </c>
      <c r="S69" s="98">
        <v>232.624</v>
      </c>
      <c r="T69" s="98">
        <v>232.59100000000001</v>
      </c>
      <c r="U69" s="98">
        <v>232.49100000000001</v>
      </c>
      <c r="V69" s="98">
        <v>232.45699999999999</v>
      </c>
      <c r="W69" s="98">
        <v>232.41</v>
      </c>
      <c r="X69" s="98">
        <v>232.726</v>
      </c>
      <c r="Y69" s="98">
        <v>232.33099999999999</v>
      </c>
      <c r="Z69" s="98">
        <v>232.523</v>
      </c>
      <c r="AA69" s="98">
        <v>232.267</v>
      </c>
      <c r="AB69" s="102">
        <v>232.209</v>
      </c>
      <c r="AC69" s="98">
        <v>232.4</v>
      </c>
      <c r="AD69" s="98">
        <v>231.869</v>
      </c>
      <c r="AE69" s="98">
        <v>232.05500000000001</v>
      </c>
      <c r="AF69" s="103"/>
      <c r="AG69" s="98">
        <f t="shared" si="57"/>
        <v>-0.34799999999998477</v>
      </c>
      <c r="AH69" s="104">
        <f t="shared" si="47"/>
        <v>6.3999999999992951E-2</v>
      </c>
      <c r="AI69" s="104">
        <f t="shared" si="48"/>
        <v>-0.10900000000000887</v>
      </c>
      <c r="AJ69" s="104">
        <f t="shared" si="49"/>
        <v>-0.13299999999998136</v>
      </c>
      <c r="AK69" s="104">
        <f t="shared" si="50"/>
        <v>-8.100000000001728E-2</v>
      </c>
      <c r="AL69" s="104">
        <f t="shared" si="58"/>
        <v>-7.9000000000007731E-2</v>
      </c>
      <c r="AM69" s="104">
        <f t="shared" si="59"/>
        <v>-6.3999999999992951E-2</v>
      </c>
      <c r="AN69" s="104">
        <f t="shared" si="60"/>
        <v>-5.7999999999992724E-2</v>
      </c>
      <c r="AO69" s="98">
        <f t="shared" si="4"/>
        <v>-0.34000000000000341</v>
      </c>
      <c r="AP69" s="103">
        <f t="shared" si="1"/>
        <v>-0.12755555555555512</v>
      </c>
      <c r="AQ69" s="105">
        <f t="shared" si="51"/>
        <v>-0.20799999999999841</v>
      </c>
      <c r="AR69" s="104">
        <f t="shared" si="52"/>
        <v>-0.24199999999999022</v>
      </c>
      <c r="AS69" s="104">
        <f t="shared" si="53"/>
        <v>-6.0000000000002274E-3</v>
      </c>
      <c r="AT69" s="104">
        <f t="shared" si="54"/>
        <v>-0.14300000000000068</v>
      </c>
      <c r="AU69" s="104">
        <f t="shared" si="55"/>
        <v>-0.13400000000001455</v>
      </c>
      <c r="AV69" s="104">
        <f t="shared" si="56"/>
        <v>0.26900000000000546</v>
      </c>
      <c r="AW69" s="104">
        <f t="shared" si="61"/>
        <v>-0.20300000000000296</v>
      </c>
      <c r="AX69" s="104">
        <f t="shared" si="42"/>
        <v>-6.1499999999995225E-2</v>
      </c>
      <c r="AY69" s="104">
        <f t="shared" si="6"/>
        <v>-0.34499999999999886</v>
      </c>
      <c r="AZ69" s="104">
        <f t="shared" si="7"/>
        <v>-0.11349999999999909</v>
      </c>
    </row>
    <row r="70" spans="1:52" x14ac:dyDescent="0.3">
      <c r="A70" s="97">
        <v>2348</v>
      </c>
      <c r="B70" s="98">
        <v>2256684.6129999999</v>
      </c>
      <c r="C70" s="98">
        <v>6084032.5180000002</v>
      </c>
      <c r="D70" s="98">
        <v>111.979</v>
      </c>
      <c r="E70" s="99" t="s">
        <v>32</v>
      </c>
      <c r="F70" s="100">
        <v>2012</v>
      </c>
      <c r="G70" s="98">
        <v>113.36499999999999</v>
      </c>
      <c r="H70" s="100">
        <v>2012</v>
      </c>
      <c r="I70" s="98">
        <v>113.44199999999999</v>
      </c>
      <c r="J70" s="100">
        <v>2021</v>
      </c>
      <c r="K70" s="98"/>
      <c r="L70" s="98">
        <v>113.44199999999999</v>
      </c>
      <c r="M70" s="98">
        <v>113.36499999999999</v>
      </c>
      <c r="N70" s="98">
        <v>113.253</v>
      </c>
      <c r="O70" s="98">
        <v>113.081</v>
      </c>
      <c r="P70" s="98">
        <v>113.08</v>
      </c>
      <c r="Q70" s="98">
        <v>113.14700000000001</v>
      </c>
      <c r="R70" s="101">
        <v>112.976</v>
      </c>
      <c r="S70" s="98">
        <v>112.854</v>
      </c>
      <c r="T70" s="101">
        <v>112.828</v>
      </c>
      <c r="U70" s="98">
        <v>112.67700000000001</v>
      </c>
      <c r="V70" s="98">
        <v>112.621</v>
      </c>
      <c r="W70" s="98">
        <v>112.58</v>
      </c>
      <c r="X70" s="98">
        <v>112.498</v>
      </c>
      <c r="Y70" s="98">
        <v>112.45699999999999</v>
      </c>
      <c r="Z70" s="98">
        <v>112.384</v>
      </c>
      <c r="AA70" s="98">
        <v>112.325</v>
      </c>
      <c r="AB70" s="102">
        <v>112.199</v>
      </c>
      <c r="AC70" s="98">
        <v>112.093</v>
      </c>
      <c r="AD70" s="98">
        <v>111.979</v>
      </c>
      <c r="AE70" s="98">
        <v>111.842</v>
      </c>
      <c r="AF70" s="103"/>
      <c r="AG70" s="98">
        <f t="shared" si="57"/>
        <v>-0.28399999999999181</v>
      </c>
      <c r="AH70" s="104">
        <f t="shared" si="47"/>
        <v>6.6000000000002501E-2</v>
      </c>
      <c r="AI70" s="104">
        <f t="shared" si="48"/>
        <v>-0.29300000000000637</v>
      </c>
      <c r="AJ70" s="104">
        <f t="shared" si="49"/>
        <v>-0.1769999999999925</v>
      </c>
      <c r="AK70" s="104">
        <f t="shared" si="50"/>
        <v>-9.7000000000008413E-2</v>
      </c>
      <c r="AL70" s="104">
        <f t="shared" si="58"/>
        <v>-0.12300000000000466</v>
      </c>
      <c r="AM70" s="104">
        <f t="shared" si="59"/>
        <v>-0.13199999999999079</v>
      </c>
      <c r="AN70" s="104">
        <f t="shared" si="60"/>
        <v>-0.12600000000000477</v>
      </c>
      <c r="AO70" s="98">
        <f t="shared" si="4"/>
        <v>-0.21999999999999886</v>
      </c>
      <c r="AP70" s="103">
        <f t="shared" ref="AP70:AP77" si="62">(AD70-G70)/(J70-F70)</f>
        <v>-0.15399999999999953</v>
      </c>
      <c r="AQ70" s="105">
        <f t="shared" si="51"/>
        <v>-0.18899999999999295</v>
      </c>
      <c r="AR70" s="104">
        <f t="shared" si="52"/>
        <v>-0.17300000000000182</v>
      </c>
      <c r="AS70" s="104">
        <f t="shared" si="53"/>
        <v>-0.1039999999999992</v>
      </c>
      <c r="AT70" s="104">
        <f t="shared" si="54"/>
        <v>-0.14799999999999613</v>
      </c>
      <c r="AU70" s="104">
        <f t="shared" si="55"/>
        <v>-0.20700000000000784</v>
      </c>
      <c r="AV70" s="104">
        <f t="shared" si="56"/>
        <v>-0.12299999999999045</v>
      </c>
      <c r="AW70" s="104">
        <f t="shared" si="61"/>
        <v>-0.11400000000000432</v>
      </c>
      <c r="AX70" s="104">
        <f t="shared" si="42"/>
        <v>-0.14549999999999841</v>
      </c>
      <c r="AY70" s="104">
        <f t="shared" si="6"/>
        <v>-0.25100000000000477</v>
      </c>
      <c r="AZ70" s="104">
        <f t="shared" si="7"/>
        <v>-0.15999999999999942</v>
      </c>
    </row>
    <row r="71" spans="1:52" x14ac:dyDescent="0.3">
      <c r="A71" s="97">
        <v>2362</v>
      </c>
      <c r="B71" s="98">
        <v>2256922.969</v>
      </c>
      <c r="C71" s="98">
        <v>6143246.2690000003</v>
      </c>
      <c r="D71" s="98">
        <v>145.619</v>
      </c>
      <c r="E71" s="99" t="s">
        <v>33</v>
      </c>
      <c r="F71" s="100">
        <v>2012</v>
      </c>
      <c r="G71" s="98">
        <v>149.62100000000001</v>
      </c>
      <c r="H71" s="100">
        <v>2012</v>
      </c>
      <c r="I71" s="98">
        <v>149.81800000000001</v>
      </c>
      <c r="J71" s="100">
        <v>2021</v>
      </c>
      <c r="K71" s="98"/>
      <c r="L71" s="98">
        <v>149.81800000000001</v>
      </c>
      <c r="M71" s="98">
        <v>149.62100000000001</v>
      </c>
      <c r="N71" s="98">
        <v>149.286</v>
      </c>
      <c r="O71" s="98">
        <v>148.89099999999999</v>
      </c>
      <c r="P71" s="98">
        <v>148.68199999999999</v>
      </c>
      <c r="Q71" s="98">
        <v>148.51599999999999</v>
      </c>
      <c r="R71" s="101">
        <v>148.02099999999999</v>
      </c>
      <c r="S71" s="98">
        <v>147.65299999999999</v>
      </c>
      <c r="T71" s="98">
        <v>147.36199999999999</v>
      </c>
      <c r="U71" s="98">
        <v>147.04400000000001</v>
      </c>
      <c r="V71" s="98">
        <v>146.845</v>
      </c>
      <c r="W71" s="98">
        <v>146.75</v>
      </c>
      <c r="X71" s="98">
        <v>146.57499999999999</v>
      </c>
      <c r="Y71" s="98">
        <v>146.393</v>
      </c>
      <c r="Z71" s="98">
        <v>146.35</v>
      </c>
      <c r="AA71" s="98">
        <v>146.24799999999999</v>
      </c>
      <c r="AB71" s="102">
        <v>146.005</v>
      </c>
      <c r="AC71" s="98">
        <v>145.774</v>
      </c>
      <c r="AD71" s="98">
        <v>145.619</v>
      </c>
      <c r="AE71" s="98">
        <v>145.37100000000001</v>
      </c>
      <c r="AF71" s="103"/>
      <c r="AG71" s="98">
        <f t="shared" si="57"/>
        <v>-0.73000000000001819</v>
      </c>
      <c r="AH71" s="104">
        <f t="shared" si="47"/>
        <v>-0.375</v>
      </c>
      <c r="AI71" s="104">
        <f t="shared" si="48"/>
        <v>-0.86299999999999955</v>
      </c>
      <c r="AJ71" s="104">
        <f t="shared" si="49"/>
        <v>-0.60899999999998045</v>
      </c>
      <c r="AK71" s="104">
        <f t="shared" si="50"/>
        <v>-0.29400000000001114</v>
      </c>
      <c r="AL71" s="104">
        <f t="shared" si="58"/>
        <v>-0.35699999999999932</v>
      </c>
      <c r="AM71" s="104">
        <f t="shared" si="59"/>
        <v>-0.14500000000001023</v>
      </c>
      <c r="AN71" s="104">
        <f t="shared" si="60"/>
        <v>-0.242999999999995</v>
      </c>
      <c r="AO71" s="98">
        <f t="shared" ref="AO71:AO77" si="63">(AD71-AB71)</f>
        <v>-0.38599999999999568</v>
      </c>
      <c r="AP71" s="103">
        <f t="shared" si="62"/>
        <v>-0.44466666666666771</v>
      </c>
      <c r="AQ71" s="105">
        <f t="shared" si="51"/>
        <v>-0.53200000000001069</v>
      </c>
      <c r="AR71" s="104">
        <f t="shared" si="52"/>
        <v>-0.60400000000001342</v>
      </c>
      <c r="AS71" s="104">
        <f t="shared" si="53"/>
        <v>-0.66100000000000136</v>
      </c>
      <c r="AT71" s="104">
        <f t="shared" si="54"/>
        <v>-0.65899999999999181</v>
      </c>
      <c r="AU71" s="104">
        <f t="shared" si="55"/>
        <v>-0.51699999999999591</v>
      </c>
      <c r="AV71" s="104">
        <f t="shared" si="56"/>
        <v>-0.27000000000001023</v>
      </c>
      <c r="AW71" s="104">
        <f t="shared" si="61"/>
        <v>-0.22499999999999432</v>
      </c>
      <c r="AX71" s="104">
        <f t="shared" si="42"/>
        <v>-0.2879999999999967</v>
      </c>
      <c r="AY71" s="104">
        <f t="shared" ref="AY71:AY83" si="64">AE71-AC71</f>
        <v>-0.40299999999999159</v>
      </c>
      <c r="AZ71" s="104">
        <f t="shared" ref="AZ71:AZ83" si="65">(AE71-$I71)/(2022-$H71)</f>
        <v>-0.44470000000000026</v>
      </c>
    </row>
    <row r="72" spans="1:52" x14ac:dyDescent="0.3">
      <c r="A72" s="97">
        <v>2378</v>
      </c>
      <c r="B72" s="98">
        <v>2256382.1090000002</v>
      </c>
      <c r="C72" s="98">
        <v>6184306.4740000004</v>
      </c>
      <c r="D72" s="98">
        <v>177.91900000000001</v>
      </c>
      <c r="E72" s="99" t="s">
        <v>34</v>
      </c>
      <c r="F72" s="100">
        <v>2012</v>
      </c>
      <c r="G72" s="98">
        <v>182.47</v>
      </c>
      <c r="H72" s="100">
        <v>2012</v>
      </c>
      <c r="I72" s="98">
        <v>182.58799999999999</v>
      </c>
      <c r="J72" s="100">
        <v>2021</v>
      </c>
      <c r="K72" s="98"/>
      <c r="L72" s="98">
        <v>182.58799999999999</v>
      </c>
      <c r="M72" s="98">
        <v>182.47</v>
      </c>
      <c r="N72" s="98">
        <v>182.262</v>
      </c>
      <c r="O72" s="98">
        <v>181.863</v>
      </c>
      <c r="P72" s="98">
        <v>181.62899999999999</v>
      </c>
      <c r="Q72" s="98">
        <v>181.46299999999999</v>
      </c>
      <c r="R72" s="101">
        <v>181.03899999999999</v>
      </c>
      <c r="S72" s="98">
        <v>180.71600000000001</v>
      </c>
      <c r="T72" s="101">
        <v>180.50899999999999</v>
      </c>
      <c r="U72" s="98">
        <v>180.17400000000001</v>
      </c>
      <c r="V72" s="98">
        <v>179.904</v>
      </c>
      <c r="W72" s="98">
        <v>179.83</v>
      </c>
      <c r="X72" s="98">
        <v>179.535</v>
      </c>
      <c r="Y72" s="98">
        <v>179.25299999999999</v>
      </c>
      <c r="Z72" s="98">
        <v>179.14099999999999</v>
      </c>
      <c r="AA72" s="98">
        <v>178.99299999999999</v>
      </c>
      <c r="AB72" s="102">
        <v>178.65</v>
      </c>
      <c r="AC72" s="98">
        <v>178.26900000000001</v>
      </c>
      <c r="AD72" s="98">
        <v>177.91900000000001</v>
      </c>
      <c r="AE72" s="98">
        <v>177.71100000000001</v>
      </c>
      <c r="AF72" s="103"/>
      <c r="AG72" s="98">
        <f t="shared" si="57"/>
        <v>-0.60699999999999932</v>
      </c>
      <c r="AH72" s="104">
        <f t="shared" si="47"/>
        <v>-0.40000000000000568</v>
      </c>
      <c r="AI72" s="104">
        <f t="shared" si="48"/>
        <v>-0.74699999999998568</v>
      </c>
      <c r="AJ72" s="104">
        <f t="shared" si="49"/>
        <v>-0.54200000000000159</v>
      </c>
      <c r="AK72" s="104">
        <f t="shared" ref="AK72:AK82" si="66">W72-U72</f>
        <v>-0.34399999999999409</v>
      </c>
      <c r="AL72" s="104">
        <f t="shared" si="58"/>
        <v>-0.5770000000000266</v>
      </c>
      <c r="AM72" s="104">
        <f t="shared" si="59"/>
        <v>-0.25999999999999091</v>
      </c>
      <c r="AN72" s="104">
        <f t="shared" si="60"/>
        <v>-0.34299999999998931</v>
      </c>
      <c r="AO72" s="98">
        <f t="shared" si="63"/>
        <v>-0.73099999999999454</v>
      </c>
      <c r="AP72" s="103">
        <f t="shared" si="62"/>
        <v>-0.50566666666666527</v>
      </c>
      <c r="AQ72" s="105">
        <f t="shared" si="51"/>
        <v>-0.32599999999999341</v>
      </c>
      <c r="AR72" s="104">
        <f t="shared" si="52"/>
        <v>-0.63300000000000978</v>
      </c>
      <c r="AS72" s="104">
        <f t="shared" si="53"/>
        <v>-0.59000000000000341</v>
      </c>
      <c r="AT72" s="104">
        <f t="shared" si="54"/>
        <v>-0.53000000000000114</v>
      </c>
      <c r="AU72" s="104">
        <f t="shared" si="55"/>
        <v>-0.60499999999998977</v>
      </c>
      <c r="AV72" s="104">
        <f t="shared" si="56"/>
        <v>-0.36899999999999977</v>
      </c>
      <c r="AW72" s="104">
        <f t="shared" si="61"/>
        <v>-0.39400000000000546</v>
      </c>
      <c r="AX72" s="104">
        <f t="shared" si="42"/>
        <v>-0.43599999999999284</v>
      </c>
      <c r="AY72" s="104">
        <f t="shared" si="64"/>
        <v>-0.55799999999999272</v>
      </c>
      <c r="AZ72" s="104">
        <f t="shared" si="65"/>
        <v>-0.48769999999999814</v>
      </c>
    </row>
    <row r="73" spans="1:52" x14ac:dyDescent="0.3">
      <c r="A73" s="97">
        <v>2448</v>
      </c>
      <c r="B73" s="98">
        <v>2061261.193</v>
      </c>
      <c r="C73" s="98">
        <v>6266141.0949999997</v>
      </c>
      <c r="D73" s="98">
        <v>196.18600000000001</v>
      </c>
      <c r="E73" s="99" t="s">
        <v>35</v>
      </c>
      <c r="F73" s="100">
        <v>2012</v>
      </c>
      <c r="G73" s="98">
        <v>199.28</v>
      </c>
      <c r="H73" s="100">
        <v>2012</v>
      </c>
      <c r="I73" s="98">
        <v>199.41499999999999</v>
      </c>
      <c r="J73" s="100">
        <v>2021</v>
      </c>
      <c r="K73" s="98"/>
      <c r="L73" s="98">
        <v>199.41499999999999</v>
      </c>
      <c r="M73" s="98">
        <v>199.28</v>
      </c>
      <c r="N73" s="98">
        <v>199.18700000000001</v>
      </c>
      <c r="O73" s="98">
        <v>198.756</v>
      </c>
      <c r="P73" s="98">
        <v>198.536</v>
      </c>
      <c r="Q73" s="98">
        <v>198.501</v>
      </c>
      <c r="R73" s="101">
        <v>198.22800000000001</v>
      </c>
      <c r="S73" s="98">
        <v>198.03200000000001</v>
      </c>
      <c r="T73" s="98">
        <v>197.88900000000001</v>
      </c>
      <c r="U73" s="98">
        <v>197.703</v>
      </c>
      <c r="V73" s="98">
        <v>197.64099999999999</v>
      </c>
      <c r="W73" s="98">
        <v>197.57</v>
      </c>
      <c r="X73" s="98">
        <v>197.559</v>
      </c>
      <c r="Y73" s="98">
        <v>197.33799999999999</v>
      </c>
      <c r="Z73" s="98">
        <v>197.27500000000001</v>
      </c>
      <c r="AA73" s="98">
        <v>197.15299999999999</v>
      </c>
      <c r="AB73" s="102">
        <v>196.80799999999999</v>
      </c>
      <c r="AC73" s="98">
        <v>196.756</v>
      </c>
      <c r="AD73" s="98">
        <v>196.18600000000001</v>
      </c>
      <c r="AE73" s="98">
        <v>196.00700000000001</v>
      </c>
      <c r="AF73" s="103"/>
      <c r="AG73" s="98">
        <f t="shared" si="57"/>
        <v>-0.52400000000000091</v>
      </c>
      <c r="AH73" s="104">
        <f t="shared" si="47"/>
        <v>-0.25499999999999545</v>
      </c>
      <c r="AI73" s="104">
        <f t="shared" si="48"/>
        <v>-0.46899999999999409</v>
      </c>
      <c r="AJ73" s="104">
        <f t="shared" si="49"/>
        <v>-0.32900000000000773</v>
      </c>
      <c r="AK73" s="104">
        <f t="shared" si="66"/>
        <v>-0.13300000000000978</v>
      </c>
      <c r="AL73" s="104">
        <f t="shared" si="58"/>
        <v>-0.23199999999999932</v>
      </c>
      <c r="AM73" s="104">
        <f t="shared" si="59"/>
        <v>-0.18500000000000227</v>
      </c>
      <c r="AN73" s="104">
        <f t="shared" si="60"/>
        <v>-0.34499999999999886</v>
      </c>
      <c r="AO73" s="98">
        <f t="shared" si="63"/>
        <v>-0.62199999999998568</v>
      </c>
      <c r="AP73" s="103">
        <f t="shared" si="62"/>
        <v>-0.34377777777777713</v>
      </c>
      <c r="AQ73" s="105">
        <f t="shared" si="51"/>
        <v>-0.22799999999998022</v>
      </c>
      <c r="AR73" s="104">
        <f t="shared" si="52"/>
        <v>-0.65100000000001046</v>
      </c>
      <c r="AS73" s="104">
        <f t="shared" si="53"/>
        <v>-0.30799999999999272</v>
      </c>
      <c r="AT73" s="104">
        <f t="shared" si="54"/>
        <v>-0.33899999999999864</v>
      </c>
      <c r="AU73" s="104">
        <f t="shared" si="55"/>
        <v>-0.24800000000001887</v>
      </c>
      <c r="AV73" s="104">
        <f t="shared" si="56"/>
        <v>-8.1999999999993634E-2</v>
      </c>
      <c r="AW73" s="104">
        <f t="shared" si="61"/>
        <v>-0.28399999999999181</v>
      </c>
      <c r="AX73" s="104">
        <f t="shared" si="42"/>
        <v>-0.25950000000000273</v>
      </c>
      <c r="AY73" s="104">
        <f t="shared" si="64"/>
        <v>-0.74899999999999523</v>
      </c>
      <c r="AZ73" s="104">
        <f t="shared" si="65"/>
        <v>-0.34079999999999872</v>
      </c>
    </row>
    <row r="74" spans="1:52" x14ac:dyDescent="0.3">
      <c r="A74" s="97">
        <v>2562</v>
      </c>
      <c r="B74" s="98">
        <v>2232976.86</v>
      </c>
      <c r="C74" s="98">
        <v>6129496.4869999997</v>
      </c>
      <c r="D74" s="98">
        <v>130.92400000000001</v>
      </c>
      <c r="E74" s="99" t="s">
        <v>79</v>
      </c>
      <c r="F74" s="100">
        <v>2012</v>
      </c>
      <c r="G74" s="98">
        <v>133.63499999999999</v>
      </c>
      <c r="H74" s="100">
        <v>2012</v>
      </c>
      <c r="I74" s="98">
        <v>133.74100000000001</v>
      </c>
      <c r="J74" s="100">
        <v>2021</v>
      </c>
      <c r="K74" s="98"/>
      <c r="L74" s="98">
        <v>133.74100000000001</v>
      </c>
      <c r="M74" s="98">
        <v>133.63499999999999</v>
      </c>
      <c r="N74" s="98">
        <v>133.54</v>
      </c>
      <c r="O74" s="98">
        <v>133.214</v>
      </c>
      <c r="P74" s="98">
        <v>133.13</v>
      </c>
      <c r="Q74" s="98">
        <v>133.08500000000001</v>
      </c>
      <c r="R74" s="101">
        <v>132.648</v>
      </c>
      <c r="S74" s="98">
        <v>132.40100000000001</v>
      </c>
      <c r="T74" s="101">
        <v>132.345</v>
      </c>
      <c r="U74" s="98">
        <v>132.05699999999999</v>
      </c>
      <c r="V74" s="98">
        <v>131.93</v>
      </c>
      <c r="W74" s="98">
        <v>131.88</v>
      </c>
      <c r="X74" s="98">
        <v>131.80099999999999</v>
      </c>
      <c r="Y74" s="98">
        <v>131.62200000000001</v>
      </c>
      <c r="Z74" s="98">
        <v>131.54900000000001</v>
      </c>
      <c r="AA74" s="98"/>
      <c r="AB74" s="102">
        <v>131.26499999999999</v>
      </c>
      <c r="AC74" s="98">
        <v>131.08000000000001</v>
      </c>
      <c r="AD74" s="98">
        <v>130.92400000000001</v>
      </c>
      <c r="AE74" s="98">
        <v>130.79900000000001</v>
      </c>
      <c r="AF74" s="103"/>
      <c r="AG74" s="98">
        <f t="shared" si="57"/>
        <v>-0.42099999999999227</v>
      </c>
      <c r="AH74" s="104">
        <f t="shared" si="47"/>
        <v>-0.12899999999999068</v>
      </c>
      <c r="AI74" s="104">
        <f t="shared" si="48"/>
        <v>-0.6839999999999975</v>
      </c>
      <c r="AJ74" s="104">
        <f t="shared" si="49"/>
        <v>-0.34400000000002251</v>
      </c>
      <c r="AK74" s="104">
        <f t="shared" si="66"/>
        <v>-0.1769999999999925</v>
      </c>
      <c r="AL74" s="104">
        <f t="shared" si="58"/>
        <v>-0.25799999999998136</v>
      </c>
      <c r="AM74" s="104"/>
      <c r="AN74" s="104"/>
      <c r="AO74" s="98">
        <f t="shared" si="63"/>
        <v>-0.34099999999997976</v>
      </c>
      <c r="AP74" s="103">
        <f t="shared" si="62"/>
        <v>-0.3012222222222205</v>
      </c>
      <c r="AQ74" s="105">
        <f t="shared" si="51"/>
        <v>-0.20100000000002183</v>
      </c>
      <c r="AR74" s="104">
        <f t="shared" si="52"/>
        <v>-0.40999999999999659</v>
      </c>
      <c r="AS74" s="104">
        <f t="shared" si="53"/>
        <v>-0.48199999999999932</v>
      </c>
      <c r="AT74" s="104">
        <f t="shared" si="54"/>
        <v>-0.30299999999999727</v>
      </c>
      <c r="AU74" s="104">
        <f t="shared" ref="AU74:AU83" si="67">V74-T74</f>
        <v>-0.41499999999999204</v>
      </c>
      <c r="AV74" s="104">
        <f t="shared" si="56"/>
        <v>-0.1290000000000191</v>
      </c>
      <c r="AW74" s="104">
        <f t="shared" si="61"/>
        <v>-0.25199999999998113</v>
      </c>
      <c r="AX74" s="104">
        <f t="shared" si="42"/>
        <v>-0.23449999999999704</v>
      </c>
      <c r="AY74" s="104">
        <f t="shared" si="64"/>
        <v>-0.28100000000000591</v>
      </c>
      <c r="AZ74" s="104">
        <f t="shared" si="65"/>
        <v>-0.29420000000000074</v>
      </c>
    </row>
    <row r="75" spans="1:52" x14ac:dyDescent="0.3">
      <c r="A75" s="97" t="s">
        <v>36</v>
      </c>
      <c r="B75" s="98">
        <v>2405239.0410000002</v>
      </c>
      <c r="C75" s="98">
        <v>6241496.4699999997</v>
      </c>
      <c r="D75" s="98">
        <v>1289.2550000000001</v>
      </c>
      <c r="E75" s="99" t="s">
        <v>37</v>
      </c>
      <c r="F75" s="100">
        <v>2013</v>
      </c>
      <c r="G75" s="98">
        <v>1289.2950000000001</v>
      </c>
      <c r="H75" s="100">
        <v>2014</v>
      </c>
      <c r="I75" s="98">
        <v>1289.337</v>
      </c>
      <c r="J75" s="100">
        <v>2021</v>
      </c>
      <c r="K75" s="98"/>
      <c r="L75" s="98"/>
      <c r="M75" s="98"/>
      <c r="N75" s="98"/>
      <c r="O75" s="98">
        <v>1289.2950000000001</v>
      </c>
      <c r="P75" s="98">
        <v>1289.337</v>
      </c>
      <c r="Q75" s="98">
        <v>1289.2280000000001</v>
      </c>
      <c r="R75" s="101">
        <v>1289.3710000000001</v>
      </c>
      <c r="S75" s="98">
        <v>1289.354</v>
      </c>
      <c r="T75" s="98">
        <v>1289.4580000000001</v>
      </c>
      <c r="U75" s="98">
        <v>1289.1679999999999</v>
      </c>
      <c r="V75" s="98">
        <v>1289.422</v>
      </c>
      <c r="W75" s="98">
        <v>1289.32</v>
      </c>
      <c r="X75" s="98">
        <v>1289.4169999999999</v>
      </c>
      <c r="Y75" s="98">
        <v>1289.3579999999999</v>
      </c>
      <c r="Z75" s="98">
        <v>1289.366</v>
      </c>
      <c r="AA75" s="98">
        <v>1289.3209999999999</v>
      </c>
      <c r="AB75" s="102">
        <v>1289.376</v>
      </c>
      <c r="AC75" s="98">
        <v>1289.489</v>
      </c>
      <c r="AD75" s="98">
        <v>1289.2550000000001</v>
      </c>
      <c r="AE75" s="98">
        <v>1289.4469999999999</v>
      </c>
      <c r="AF75" s="98"/>
      <c r="AG75" s="98"/>
      <c r="AH75" s="104">
        <f t="shared" ref="AH75:AH83" si="68">Q75-O75</f>
        <v>-6.7000000000007276E-2</v>
      </c>
      <c r="AI75" s="104">
        <f t="shared" ref="AI75:AI83" si="69">S75-Q75</f>
        <v>0.12599999999997635</v>
      </c>
      <c r="AJ75" s="104">
        <f t="shared" si="49"/>
        <v>-0.18600000000014916</v>
      </c>
      <c r="AK75" s="104">
        <f t="shared" si="66"/>
        <v>0.15200000000004366</v>
      </c>
      <c r="AL75" s="104">
        <f t="shared" si="58"/>
        <v>3.8000000000010914E-2</v>
      </c>
      <c r="AM75" s="104">
        <f t="shared" ref="AM75:AM81" si="70">AA75-Y75</f>
        <v>-3.7000000000034561E-2</v>
      </c>
      <c r="AN75" s="104">
        <f t="shared" ref="AN75:AN81" si="71">AB75-AA75</f>
        <v>5.5000000000063665E-2</v>
      </c>
      <c r="AO75" s="98">
        <f t="shared" si="63"/>
        <v>-0.12099999999986721</v>
      </c>
      <c r="AP75" s="103">
        <f t="shared" si="62"/>
        <v>-4.9999999999954525E-3</v>
      </c>
      <c r="AQ75" s="103"/>
      <c r="AR75" s="103"/>
      <c r="AS75" s="104">
        <f t="shared" ref="AS75:AS83" si="72">R75-P75</f>
        <v>3.4000000000105501E-2</v>
      </c>
      <c r="AT75" s="104">
        <f t="shared" ref="AT75:AT83" si="73">T75-R75</f>
        <v>8.6999999999989086E-2</v>
      </c>
      <c r="AU75" s="104">
        <f t="shared" si="67"/>
        <v>-3.6000000000058208E-2</v>
      </c>
      <c r="AV75" s="104">
        <f t="shared" si="56"/>
        <v>-5.0000000001091394E-3</v>
      </c>
      <c r="AW75" s="104">
        <f t="shared" si="61"/>
        <v>-5.0999999999930878E-2</v>
      </c>
      <c r="AX75" s="104">
        <f t="shared" si="42"/>
        <v>6.1500000000023647E-2</v>
      </c>
      <c r="AY75" s="104">
        <f t="shared" si="64"/>
        <v>-4.20000000001437E-2</v>
      </c>
      <c r="AZ75" s="104">
        <f t="shared" si="65"/>
        <v>1.3749999999987494E-2</v>
      </c>
    </row>
    <row r="76" spans="1:52" x14ac:dyDescent="0.3">
      <c r="A76" s="97" t="s">
        <v>38</v>
      </c>
      <c r="B76" s="98">
        <v>2273179.398</v>
      </c>
      <c r="C76" s="98">
        <v>6009947.6299999999</v>
      </c>
      <c r="D76" s="98">
        <v>137.715</v>
      </c>
      <c r="E76" s="99" t="s">
        <v>78</v>
      </c>
      <c r="F76" s="100">
        <v>2013</v>
      </c>
      <c r="G76" s="98">
        <v>137.88300000000001</v>
      </c>
      <c r="H76" s="100">
        <v>2014</v>
      </c>
      <c r="I76" s="98">
        <v>137.964</v>
      </c>
      <c r="J76" s="100">
        <v>2021</v>
      </c>
      <c r="K76" s="98"/>
      <c r="L76" s="98"/>
      <c r="M76" s="98"/>
      <c r="N76" s="98"/>
      <c r="O76" s="98">
        <v>137.88300000000001</v>
      </c>
      <c r="P76" s="98">
        <v>137.964</v>
      </c>
      <c r="Q76" s="98">
        <v>137.959</v>
      </c>
      <c r="R76" s="101">
        <v>137.922</v>
      </c>
      <c r="S76" s="98">
        <v>137.83000000000001</v>
      </c>
      <c r="T76" s="101">
        <v>137.864</v>
      </c>
      <c r="U76" s="98">
        <v>137.89099999999999</v>
      </c>
      <c r="V76" s="98">
        <v>137.96700000000001</v>
      </c>
      <c r="W76" s="98">
        <v>137.94999999999999</v>
      </c>
      <c r="X76" s="98">
        <v>137.86699999999999</v>
      </c>
      <c r="Y76" s="98">
        <v>137.899</v>
      </c>
      <c r="Z76" s="98">
        <v>137.88800000000001</v>
      </c>
      <c r="AA76" s="98">
        <v>138.001</v>
      </c>
      <c r="AB76" s="102">
        <v>137.82</v>
      </c>
      <c r="AC76" s="98">
        <v>137.845</v>
      </c>
      <c r="AD76" s="98">
        <v>137.715</v>
      </c>
      <c r="AE76" s="98">
        <v>137.72</v>
      </c>
      <c r="AF76" s="98"/>
      <c r="AG76" s="98"/>
      <c r="AH76" s="104">
        <f t="shared" si="68"/>
        <v>7.5999999999993406E-2</v>
      </c>
      <c r="AI76" s="104">
        <f t="shared" si="69"/>
        <v>-0.12899999999999068</v>
      </c>
      <c r="AJ76" s="104">
        <f t="shared" si="49"/>
        <v>6.0999999999978627E-2</v>
      </c>
      <c r="AK76" s="104">
        <f t="shared" si="66"/>
        <v>5.8999999999997499E-2</v>
      </c>
      <c r="AL76" s="104">
        <f t="shared" si="58"/>
        <v>-5.0999999999987722E-2</v>
      </c>
      <c r="AM76" s="104">
        <f t="shared" si="70"/>
        <v>0.10200000000000387</v>
      </c>
      <c r="AN76" s="104">
        <f t="shared" si="71"/>
        <v>-0.1810000000000116</v>
      </c>
      <c r="AO76" s="98">
        <f t="shared" si="63"/>
        <v>-0.10499999999998977</v>
      </c>
      <c r="AP76" s="103">
        <f t="shared" si="62"/>
        <v>-2.1000000000000796E-2</v>
      </c>
      <c r="AQ76" s="103"/>
      <c r="AR76" s="103"/>
      <c r="AS76" s="104">
        <f t="shared" si="72"/>
        <v>-4.2000000000001592E-2</v>
      </c>
      <c r="AT76" s="104">
        <f t="shared" si="73"/>
        <v>-5.7999999999992724E-2</v>
      </c>
      <c r="AU76" s="104">
        <f t="shared" si="67"/>
        <v>0.10300000000000864</v>
      </c>
      <c r="AV76" s="104">
        <f t="shared" si="56"/>
        <v>-0.10000000000002274</v>
      </c>
      <c r="AW76" s="104">
        <f t="shared" si="61"/>
        <v>2.1000000000015007E-2</v>
      </c>
      <c r="AX76" s="104">
        <f t="shared" si="42"/>
        <v>-2.1500000000003183E-2</v>
      </c>
      <c r="AY76" s="104">
        <f t="shared" si="64"/>
        <v>-0.125</v>
      </c>
      <c r="AZ76" s="104">
        <f t="shared" si="65"/>
        <v>-3.0499999999999972E-2</v>
      </c>
    </row>
    <row r="77" spans="1:52" x14ac:dyDescent="0.3">
      <c r="A77" s="97" t="s">
        <v>39</v>
      </c>
      <c r="B77" s="98">
        <v>2197033.0490000001</v>
      </c>
      <c r="C77" s="98">
        <v>6077365.8990000002</v>
      </c>
      <c r="D77" s="98">
        <v>189.31800000000001</v>
      </c>
      <c r="E77" s="99" t="s">
        <v>40</v>
      </c>
      <c r="F77" s="100">
        <v>2013</v>
      </c>
      <c r="G77" s="98">
        <v>189.839</v>
      </c>
      <c r="H77" s="100">
        <v>2014</v>
      </c>
      <c r="I77" s="98">
        <v>189.78399999999999</v>
      </c>
      <c r="J77" s="100">
        <v>2021</v>
      </c>
      <c r="K77" s="98"/>
      <c r="L77" s="98"/>
      <c r="M77" s="98"/>
      <c r="N77" s="98"/>
      <c r="O77" s="98">
        <v>189.839</v>
      </c>
      <c r="P77" s="98">
        <v>189.78399999999999</v>
      </c>
      <c r="Q77" s="98">
        <v>189.93509999999998</v>
      </c>
      <c r="R77" s="101">
        <v>189.79599999999999</v>
      </c>
      <c r="S77" s="98">
        <v>189.67500000000001</v>
      </c>
      <c r="T77" s="98">
        <v>189.75200000000001</v>
      </c>
      <c r="U77" s="98">
        <v>189.547</v>
      </c>
      <c r="V77" s="98">
        <v>189.65899999999999</v>
      </c>
      <c r="W77" s="98">
        <v>189.64</v>
      </c>
      <c r="X77" s="98">
        <v>189.63499999999999</v>
      </c>
      <c r="Y77" s="98">
        <v>189.55799999999999</v>
      </c>
      <c r="Z77" s="98">
        <v>189.61600000000001</v>
      </c>
      <c r="AA77" s="98">
        <v>189.589</v>
      </c>
      <c r="AB77" s="102">
        <v>189.483</v>
      </c>
      <c r="AC77" s="98">
        <v>189.38800000000001</v>
      </c>
      <c r="AD77" s="98">
        <v>189.31800000000001</v>
      </c>
      <c r="AE77" s="98">
        <v>189.27600000000001</v>
      </c>
      <c r="AF77" s="98"/>
      <c r="AG77" s="98"/>
      <c r="AH77" s="104">
        <f t="shared" si="68"/>
        <v>9.6099999999978536E-2</v>
      </c>
      <c r="AI77" s="104">
        <f t="shared" si="69"/>
        <v>-0.2600999999999658</v>
      </c>
      <c r="AJ77" s="104">
        <f t="shared" si="49"/>
        <v>-0.12800000000001432</v>
      </c>
      <c r="AK77" s="104">
        <f t="shared" si="66"/>
        <v>9.2999999999989313E-2</v>
      </c>
      <c r="AL77" s="104">
        <f t="shared" si="58"/>
        <v>-8.1999999999993634E-2</v>
      </c>
      <c r="AM77" s="104">
        <f t="shared" si="70"/>
        <v>3.1000000000005912E-2</v>
      </c>
      <c r="AN77" s="104">
        <f t="shared" si="71"/>
        <v>-0.10599999999999454</v>
      </c>
      <c r="AO77" s="98">
        <f t="shared" si="63"/>
        <v>-0.16499999999999204</v>
      </c>
      <c r="AP77" s="103">
        <f t="shared" si="62"/>
        <v>-6.5124999999998323E-2</v>
      </c>
      <c r="AQ77" s="103"/>
      <c r="AR77" s="103"/>
      <c r="AS77" s="104">
        <f t="shared" si="72"/>
        <v>1.2000000000000455E-2</v>
      </c>
      <c r="AT77" s="104">
        <f t="shared" si="73"/>
        <v>-4.399999999998272E-2</v>
      </c>
      <c r="AU77" s="104">
        <f t="shared" si="67"/>
        <v>-9.3000000000017735E-2</v>
      </c>
      <c r="AV77" s="104">
        <f t="shared" si="56"/>
        <v>-2.4000000000000909E-2</v>
      </c>
      <c r="AW77" s="104">
        <f t="shared" si="61"/>
        <v>-1.8999999999977035E-2</v>
      </c>
      <c r="AX77" s="104">
        <f t="shared" si="42"/>
        <v>-0.11400000000000432</v>
      </c>
      <c r="AY77" s="104">
        <f t="shared" si="64"/>
        <v>-0.11199999999999477</v>
      </c>
      <c r="AZ77" s="104">
        <f t="shared" si="65"/>
        <v>-6.3499999999997669E-2</v>
      </c>
    </row>
    <row r="78" spans="1:52" x14ac:dyDescent="0.3">
      <c r="A78" s="97" t="s">
        <v>131</v>
      </c>
      <c r="B78" s="98">
        <v>2170094.625</v>
      </c>
      <c r="C78" s="98">
        <v>6102734.75</v>
      </c>
      <c r="D78" s="98">
        <v>241.23500000000001</v>
      </c>
      <c r="E78" s="99" t="s">
        <v>132</v>
      </c>
      <c r="F78" s="100">
        <v>2021</v>
      </c>
      <c r="G78" s="98"/>
      <c r="H78" s="100">
        <v>2021</v>
      </c>
      <c r="I78" s="98">
        <v>241.32900000000001</v>
      </c>
      <c r="J78" s="100">
        <v>2021</v>
      </c>
      <c r="K78" s="98"/>
      <c r="L78" s="98"/>
      <c r="M78" s="98"/>
      <c r="N78" s="98"/>
      <c r="O78" s="98"/>
      <c r="P78" s="98"/>
      <c r="Q78" s="98"/>
      <c r="R78" s="101"/>
      <c r="S78" s="98"/>
      <c r="T78" s="101"/>
      <c r="U78" s="98"/>
      <c r="V78" s="98"/>
      <c r="W78" s="98"/>
      <c r="X78" s="98"/>
      <c r="Y78" s="98"/>
      <c r="Z78" s="98"/>
      <c r="AA78" s="98"/>
      <c r="AB78" s="102"/>
      <c r="AC78" s="98">
        <v>241.32900000000001</v>
      </c>
      <c r="AD78" s="98">
        <v>241.23500000000001</v>
      </c>
      <c r="AE78" s="98">
        <v>241.101</v>
      </c>
      <c r="AF78" s="98"/>
      <c r="AG78" s="98"/>
      <c r="AH78" s="104"/>
      <c r="AI78" s="104"/>
      <c r="AJ78" s="104"/>
      <c r="AK78" s="104"/>
      <c r="AL78" s="104"/>
      <c r="AM78" s="104"/>
      <c r="AN78" s="104"/>
      <c r="AO78" s="104"/>
      <c r="AP78" s="103"/>
      <c r="AQ78" s="103"/>
      <c r="AR78" s="103"/>
      <c r="AS78" s="104"/>
      <c r="AT78" s="104"/>
      <c r="AU78" s="104"/>
      <c r="AV78" s="104"/>
      <c r="AW78" s="104"/>
      <c r="AX78" s="104"/>
      <c r="AY78" s="104">
        <f t="shared" si="64"/>
        <v>-0.22800000000000864</v>
      </c>
      <c r="AZ78" s="104">
        <f t="shared" si="65"/>
        <v>-0.22800000000000864</v>
      </c>
    </row>
    <row r="79" spans="1:52" x14ac:dyDescent="0.3">
      <c r="A79" s="97" t="s">
        <v>41</v>
      </c>
      <c r="B79" s="98">
        <v>2143813.4</v>
      </c>
      <c r="C79" s="98">
        <v>6133818.5990000004</v>
      </c>
      <c r="D79" s="98">
        <v>232.94200000000001</v>
      </c>
      <c r="E79" s="99" t="s">
        <v>42</v>
      </c>
      <c r="F79" s="100">
        <v>2013</v>
      </c>
      <c r="G79" s="98">
        <v>233.785</v>
      </c>
      <c r="H79" s="100">
        <v>2014</v>
      </c>
      <c r="I79" s="98">
        <v>233.55799999999999</v>
      </c>
      <c r="J79" s="100">
        <v>2021</v>
      </c>
      <c r="K79" s="98"/>
      <c r="L79" s="98"/>
      <c r="M79" s="98"/>
      <c r="N79" s="98"/>
      <c r="O79" s="98">
        <v>233.785</v>
      </c>
      <c r="P79" s="98">
        <v>233.55799999999999</v>
      </c>
      <c r="Q79" s="98">
        <v>233.69300000000001</v>
      </c>
      <c r="R79" s="101">
        <v>233.54599999999999</v>
      </c>
      <c r="S79" s="98">
        <v>233.315</v>
      </c>
      <c r="T79" s="101">
        <v>233.44300000000001</v>
      </c>
      <c r="U79" s="98">
        <v>233.21799999999999</v>
      </c>
      <c r="V79" s="98">
        <v>233.422</v>
      </c>
      <c r="W79" s="98">
        <v>233.43</v>
      </c>
      <c r="X79" s="98">
        <v>233.506</v>
      </c>
      <c r="Y79" s="98">
        <v>233.31899999999999</v>
      </c>
      <c r="Z79" s="98">
        <v>233.45500000000001</v>
      </c>
      <c r="AA79" s="98">
        <v>233.376</v>
      </c>
      <c r="AB79" s="102">
        <v>233.197</v>
      </c>
      <c r="AC79" s="98">
        <v>233.137</v>
      </c>
      <c r="AD79" s="98">
        <v>232.94200000000001</v>
      </c>
      <c r="AE79" s="98">
        <v>232.76</v>
      </c>
      <c r="AF79" s="98"/>
      <c r="AG79" s="98"/>
      <c r="AH79" s="104">
        <f t="shared" si="68"/>
        <v>-9.1999999999984539E-2</v>
      </c>
      <c r="AI79" s="104">
        <f t="shared" si="69"/>
        <v>-0.37800000000001432</v>
      </c>
      <c r="AJ79" s="104">
        <f t="shared" si="49"/>
        <v>-9.7000000000008413E-2</v>
      </c>
      <c r="AK79" s="104">
        <f t="shared" si="66"/>
        <v>0.21200000000001751</v>
      </c>
      <c r="AL79" s="104">
        <f t="shared" si="58"/>
        <v>-0.11100000000001842</v>
      </c>
      <c r="AM79" s="104">
        <f t="shared" si="70"/>
        <v>5.7000000000016371E-2</v>
      </c>
      <c r="AN79" s="104">
        <f t="shared" si="71"/>
        <v>-0.17900000000000205</v>
      </c>
      <c r="AO79" s="98">
        <f t="shared" ref="AO79:AO83" si="74">(AD79-AB79)</f>
        <v>-0.25499999999999545</v>
      </c>
      <c r="AP79" s="103">
        <f t="shared" ref="AP79:AP83" si="75">(AD79-G79)/(J79-F79)</f>
        <v>-0.10537499999999866</v>
      </c>
      <c r="AQ79" s="103"/>
      <c r="AR79" s="103"/>
      <c r="AS79" s="104">
        <f t="shared" si="72"/>
        <v>-1.2000000000000455E-2</v>
      </c>
      <c r="AT79" s="104">
        <f t="shared" si="73"/>
        <v>-0.10299999999998022</v>
      </c>
      <c r="AU79" s="104">
        <f t="shared" si="67"/>
        <v>-2.1000000000015007E-2</v>
      </c>
      <c r="AV79" s="104">
        <f t="shared" si="56"/>
        <v>8.4000000000003183E-2</v>
      </c>
      <c r="AW79" s="104">
        <f t="shared" si="61"/>
        <v>-5.0999999999987722E-2</v>
      </c>
      <c r="AX79" s="104">
        <f t="shared" ref="AX79:AX83" si="76">(AC79-Z79)/2</f>
        <v>-0.15900000000000603</v>
      </c>
      <c r="AY79" s="104">
        <f t="shared" si="64"/>
        <v>-0.37700000000000955</v>
      </c>
      <c r="AZ79" s="104">
        <f t="shared" si="65"/>
        <v>-9.9750000000000227E-2</v>
      </c>
    </row>
    <row r="80" spans="1:52" x14ac:dyDescent="0.3">
      <c r="A80" s="97" t="s">
        <v>113</v>
      </c>
      <c r="B80" s="98">
        <v>2143787.8369999998</v>
      </c>
      <c r="C80" s="98">
        <v>6458478.3389999997</v>
      </c>
      <c r="D80" s="98">
        <v>506.66899999999998</v>
      </c>
      <c r="E80" s="97" t="s">
        <v>111</v>
      </c>
      <c r="F80" s="100">
        <v>2013</v>
      </c>
      <c r="G80" s="98">
        <v>506.73200000000003</v>
      </c>
      <c r="H80" s="98">
        <v>2014</v>
      </c>
      <c r="I80" s="98">
        <v>506.84199999999998</v>
      </c>
      <c r="J80" s="100">
        <v>2021</v>
      </c>
      <c r="K80" s="98"/>
      <c r="L80" s="98"/>
      <c r="M80" s="98"/>
      <c r="N80" s="98"/>
      <c r="O80" s="98">
        <v>506.73200000000003</v>
      </c>
      <c r="P80" s="98">
        <v>506.84199999999998</v>
      </c>
      <c r="Q80" s="98">
        <v>506.654</v>
      </c>
      <c r="R80" s="101">
        <v>507.14600000000002</v>
      </c>
      <c r="S80" s="98">
        <v>506.87299999999999</v>
      </c>
      <c r="T80" s="98">
        <v>506.88799999999998</v>
      </c>
      <c r="U80" s="98">
        <v>506.81099999999998</v>
      </c>
      <c r="V80" s="98">
        <v>506.92700000000002</v>
      </c>
      <c r="W80" s="98">
        <v>506.86</v>
      </c>
      <c r="X80" s="98">
        <v>506.95400000000001</v>
      </c>
      <c r="Y80" s="98">
        <v>506.64800000000002</v>
      </c>
      <c r="Z80" s="98">
        <f>502.589+4.2</f>
        <v>506.78899999999999</v>
      </c>
      <c r="AA80" s="98">
        <v>506.72399999999999</v>
      </c>
      <c r="AB80" s="102">
        <v>506.786</v>
      </c>
      <c r="AC80" s="98">
        <v>506.964</v>
      </c>
      <c r="AD80" s="98">
        <v>506.66899999999998</v>
      </c>
      <c r="AE80" s="98">
        <v>506.71100000000001</v>
      </c>
      <c r="AF80" s="98"/>
      <c r="AG80" s="98"/>
      <c r="AH80" s="104">
        <f t="shared" si="68"/>
        <v>-7.8000000000031378E-2</v>
      </c>
      <c r="AI80" s="104">
        <f t="shared" si="69"/>
        <v>0.21899999999999409</v>
      </c>
      <c r="AJ80" s="104">
        <f t="shared" ref="AJ80:AJ82" si="77">U80-S80</f>
        <v>-6.2000000000011823E-2</v>
      </c>
      <c r="AK80" s="104">
        <f t="shared" si="66"/>
        <v>4.9000000000035016E-2</v>
      </c>
      <c r="AL80" s="104">
        <f t="shared" si="58"/>
        <v>-0.21199999999998909</v>
      </c>
      <c r="AM80" s="104">
        <f t="shared" si="70"/>
        <v>7.5999999999964984E-2</v>
      </c>
      <c r="AN80" s="104">
        <f t="shared" si="71"/>
        <v>6.2000000000011823E-2</v>
      </c>
      <c r="AO80" s="98">
        <f t="shared" si="74"/>
        <v>-0.11700000000001864</v>
      </c>
      <c r="AP80" s="103">
        <f t="shared" si="75"/>
        <v>-7.8750000000056275E-3</v>
      </c>
      <c r="AQ80" s="103"/>
      <c r="AR80" s="103"/>
      <c r="AS80" s="104">
        <f t="shared" si="72"/>
        <v>0.30400000000003047</v>
      </c>
      <c r="AT80" s="104">
        <f t="shared" si="73"/>
        <v>-0.2580000000000382</v>
      </c>
      <c r="AU80" s="104">
        <f t="shared" si="67"/>
        <v>3.900000000004411E-2</v>
      </c>
      <c r="AV80" s="104">
        <f t="shared" si="56"/>
        <v>2.6999999999986812E-2</v>
      </c>
      <c r="AW80" s="104">
        <f t="shared" si="61"/>
        <v>-0.16500000000002046</v>
      </c>
      <c r="AX80" s="104">
        <f t="shared" si="76"/>
        <v>8.7500000000005684E-2</v>
      </c>
      <c r="AY80" s="104">
        <f t="shared" si="64"/>
        <v>-0.2529999999999859</v>
      </c>
      <c r="AZ80" s="104">
        <f t="shared" si="65"/>
        <v>-1.6374999999996476E-2</v>
      </c>
    </row>
    <row r="81" spans="1:53" x14ac:dyDescent="0.3">
      <c r="A81" s="97" t="s">
        <v>43</v>
      </c>
      <c r="B81" s="98">
        <v>2172507.7370000002</v>
      </c>
      <c r="C81" s="98">
        <v>6031179.3389999997</v>
      </c>
      <c r="D81" s="98">
        <v>704.51599999999996</v>
      </c>
      <c r="E81" s="99" t="s">
        <v>44</v>
      </c>
      <c r="F81" s="100">
        <v>2013</v>
      </c>
      <c r="G81" s="98">
        <v>704.625</v>
      </c>
      <c r="H81" s="100">
        <v>2014</v>
      </c>
      <c r="I81" s="98">
        <v>704.49699999999996</v>
      </c>
      <c r="J81" s="100">
        <v>2021</v>
      </c>
      <c r="K81" s="98"/>
      <c r="L81" s="98"/>
      <c r="M81" s="98"/>
      <c r="N81" s="98"/>
      <c r="O81" s="98">
        <v>704.625</v>
      </c>
      <c r="P81" s="98">
        <v>704.49699999999996</v>
      </c>
      <c r="Q81" s="98">
        <v>704.80899999999997</v>
      </c>
      <c r="R81" s="101">
        <v>704.64700000000005</v>
      </c>
      <c r="S81" s="98">
        <v>704.55899999999997</v>
      </c>
      <c r="T81" s="101">
        <v>704.75599999999997</v>
      </c>
      <c r="U81" s="98">
        <v>704.58799999999997</v>
      </c>
      <c r="V81" s="98">
        <v>704.71400000000006</v>
      </c>
      <c r="W81" s="98">
        <v>704.62</v>
      </c>
      <c r="X81" s="98">
        <v>704.70899999999995</v>
      </c>
      <c r="Y81" s="98">
        <v>704.59799999999996</v>
      </c>
      <c r="Z81" s="98">
        <v>704.70600000000002</v>
      </c>
      <c r="AA81" s="98">
        <v>704.63800000000003</v>
      </c>
      <c r="AB81" s="102">
        <v>704.65200000000004</v>
      </c>
      <c r="AC81" s="98">
        <v>704.69299999999998</v>
      </c>
      <c r="AD81" s="98">
        <v>704.51599999999996</v>
      </c>
      <c r="AE81" s="98">
        <v>704.59100000000001</v>
      </c>
      <c r="AF81" s="98"/>
      <c r="AG81" s="98"/>
      <c r="AH81" s="104">
        <f t="shared" si="68"/>
        <v>0.18399999999996908</v>
      </c>
      <c r="AI81" s="104">
        <f t="shared" si="69"/>
        <v>-0.25</v>
      </c>
      <c r="AJ81" s="104">
        <f t="shared" si="77"/>
        <v>2.8999999999996362E-2</v>
      </c>
      <c r="AK81" s="104">
        <f t="shared" si="66"/>
        <v>3.2000000000039108E-2</v>
      </c>
      <c r="AL81" s="104">
        <f t="shared" si="58"/>
        <v>-2.2000000000048203E-2</v>
      </c>
      <c r="AM81" s="104">
        <f t="shared" si="70"/>
        <v>4.0000000000077307E-2</v>
      </c>
      <c r="AN81" s="104">
        <f t="shared" si="71"/>
        <v>1.4000000000010004E-2</v>
      </c>
      <c r="AO81" s="98">
        <f t="shared" si="74"/>
        <v>-0.13600000000008095</v>
      </c>
      <c r="AP81" s="103">
        <f t="shared" si="75"/>
        <v>-1.3625000000004661E-2</v>
      </c>
      <c r="AQ81" s="103"/>
      <c r="AR81" s="103"/>
      <c r="AS81" s="104">
        <f t="shared" si="72"/>
        <v>0.15000000000009095</v>
      </c>
      <c r="AT81" s="104">
        <f t="shared" si="73"/>
        <v>0.1089999999999236</v>
      </c>
      <c r="AU81" s="104">
        <f t="shared" si="67"/>
        <v>-4.1999999999916326E-2</v>
      </c>
      <c r="AV81" s="104">
        <f t="shared" si="56"/>
        <v>-5.0000000001091394E-3</v>
      </c>
      <c r="AW81" s="104">
        <f t="shared" si="61"/>
        <v>-2.9999999999290594E-3</v>
      </c>
      <c r="AX81" s="104">
        <f t="shared" si="76"/>
        <v>-6.5000000000168257E-3</v>
      </c>
      <c r="AY81" s="104">
        <f t="shared" si="64"/>
        <v>-0.10199999999997544</v>
      </c>
      <c r="AZ81" s="104">
        <f t="shared" si="65"/>
        <v>1.1750000000006366E-2</v>
      </c>
    </row>
    <row r="82" spans="1:53" x14ac:dyDescent="0.3">
      <c r="A82" s="97" t="s">
        <v>45</v>
      </c>
      <c r="B82" s="98">
        <v>2082514.9169999999</v>
      </c>
      <c r="C82" s="98">
        <v>6102978.8190000001</v>
      </c>
      <c r="D82" s="98">
        <v>1103.606</v>
      </c>
      <c r="E82" s="99" t="s">
        <v>46</v>
      </c>
      <c r="F82" s="100">
        <v>2013</v>
      </c>
      <c r="G82" s="98">
        <v>1103.636</v>
      </c>
      <c r="H82" s="100">
        <v>2014</v>
      </c>
      <c r="I82" s="98">
        <v>1103.492</v>
      </c>
      <c r="J82" s="100">
        <v>2021</v>
      </c>
      <c r="K82" s="98"/>
      <c r="L82" s="98"/>
      <c r="M82" s="98"/>
      <c r="N82" s="98"/>
      <c r="O82" s="98">
        <v>1103.636</v>
      </c>
      <c r="P82" s="98">
        <v>1103.492</v>
      </c>
      <c r="Q82" s="98">
        <v>1103.6320000000001</v>
      </c>
      <c r="R82" s="101">
        <v>1103.691</v>
      </c>
      <c r="S82" s="98">
        <v>1103.568</v>
      </c>
      <c r="T82" s="98">
        <v>1103.854</v>
      </c>
      <c r="U82" s="98">
        <v>1103.665</v>
      </c>
      <c r="V82" s="98">
        <v>1103.825</v>
      </c>
      <c r="W82" s="98">
        <v>1103.5999999999999</v>
      </c>
      <c r="X82" s="98">
        <v>1103.7840000000001</v>
      </c>
      <c r="Y82" s="98">
        <v>1103.6600000000001</v>
      </c>
      <c r="Z82" s="98">
        <v>1103.7170000000001</v>
      </c>
      <c r="AA82" s="98"/>
      <c r="AB82" s="102">
        <v>1103.5889999999999</v>
      </c>
      <c r="AC82" s="98">
        <v>1103.75</v>
      </c>
      <c r="AD82" s="98">
        <v>1103.606</v>
      </c>
      <c r="AE82" s="98">
        <v>1103.5509999999999</v>
      </c>
      <c r="AF82" s="98"/>
      <c r="AG82" s="98"/>
      <c r="AH82" s="104">
        <f t="shared" si="68"/>
        <v>-3.9999999999054126E-3</v>
      </c>
      <c r="AI82" s="104">
        <f t="shared" si="69"/>
        <v>-6.4000000000078217E-2</v>
      </c>
      <c r="AJ82" s="104">
        <f t="shared" si="77"/>
        <v>9.6999999999979991E-2</v>
      </c>
      <c r="AK82" s="104">
        <f t="shared" si="66"/>
        <v>-6.500000000005457E-2</v>
      </c>
      <c r="AL82" s="104">
        <f t="shared" si="58"/>
        <v>6.0000000000172804E-2</v>
      </c>
      <c r="AM82" s="104"/>
      <c r="AN82" s="104"/>
      <c r="AO82" s="98">
        <f t="shared" si="74"/>
        <v>1.7000000000052751E-2</v>
      </c>
      <c r="AP82" s="103">
        <f t="shared" si="75"/>
        <v>-3.7499999999965894E-3</v>
      </c>
      <c r="AQ82" s="103"/>
      <c r="AR82" s="103"/>
      <c r="AS82" s="104">
        <f t="shared" si="72"/>
        <v>0.19900000000006912</v>
      </c>
      <c r="AT82" s="104">
        <f t="shared" si="73"/>
        <v>0.16300000000001091</v>
      </c>
      <c r="AU82" s="104">
        <f t="shared" si="67"/>
        <v>-2.8999999999996362E-2</v>
      </c>
      <c r="AV82" s="104">
        <f t="shared" si="56"/>
        <v>-4.0999999999939973E-2</v>
      </c>
      <c r="AW82" s="104">
        <f t="shared" si="61"/>
        <v>-6.7000000000007276E-2</v>
      </c>
      <c r="AX82" s="104">
        <f t="shared" si="76"/>
        <v>1.6499999999950887E-2</v>
      </c>
      <c r="AY82" s="104">
        <f t="shared" si="64"/>
        <v>-0.19900000000006912</v>
      </c>
      <c r="AZ82" s="104">
        <f t="shared" si="65"/>
        <v>7.3749999999961346E-3</v>
      </c>
    </row>
    <row r="83" spans="1:53" x14ac:dyDescent="0.3">
      <c r="A83" s="97" t="s">
        <v>95</v>
      </c>
      <c r="B83" s="98">
        <v>2343309.1669999999</v>
      </c>
      <c r="C83" s="98">
        <v>5956829.3370000003</v>
      </c>
      <c r="D83" s="98">
        <v>183.155</v>
      </c>
      <c r="E83" s="99" t="s">
        <v>47</v>
      </c>
      <c r="F83" s="100">
        <v>2013</v>
      </c>
      <c r="G83" s="98">
        <v>183.255</v>
      </c>
      <c r="H83" s="100">
        <v>2014</v>
      </c>
      <c r="I83" s="98">
        <v>183.477</v>
      </c>
      <c r="J83" s="100">
        <v>2021</v>
      </c>
      <c r="K83" s="98"/>
      <c r="L83" s="98"/>
      <c r="M83" s="98"/>
      <c r="N83" s="98"/>
      <c r="O83" s="98">
        <v>183.255</v>
      </c>
      <c r="P83" s="98">
        <v>183.477</v>
      </c>
      <c r="Q83" s="98">
        <v>183.39099999999999</v>
      </c>
      <c r="R83" s="101">
        <v>183.34</v>
      </c>
      <c r="S83" s="98">
        <v>183.29400000000001</v>
      </c>
      <c r="T83" s="101">
        <v>183.19499999999999</v>
      </c>
      <c r="U83" s="98"/>
      <c r="V83" s="98">
        <v>183.32400000000001</v>
      </c>
      <c r="W83" s="98">
        <v>183.31</v>
      </c>
      <c r="X83" s="98">
        <v>183.137</v>
      </c>
      <c r="Y83" s="98">
        <v>183.262</v>
      </c>
      <c r="Z83" s="98">
        <v>183.184</v>
      </c>
      <c r="AA83" s="98">
        <v>183.285</v>
      </c>
      <c r="AB83" s="102">
        <v>183.184</v>
      </c>
      <c r="AC83" s="98">
        <v>183.19300000000001</v>
      </c>
      <c r="AD83" s="98">
        <v>183.155</v>
      </c>
      <c r="AE83" s="98">
        <v>183.215</v>
      </c>
      <c r="AF83" s="98"/>
      <c r="AG83" s="98"/>
      <c r="AH83" s="104">
        <f t="shared" si="68"/>
        <v>0.13599999999999568</v>
      </c>
      <c r="AI83" s="104">
        <f t="shared" si="69"/>
        <v>-9.6999999999979991E-2</v>
      </c>
      <c r="AJ83" s="104"/>
      <c r="AK83" s="104" t="s">
        <v>99</v>
      </c>
      <c r="AL83" s="104">
        <f t="shared" si="58"/>
        <v>-4.8000000000001819E-2</v>
      </c>
      <c r="AM83" s="104">
        <f>AA83-Y83</f>
        <v>2.2999999999996135E-2</v>
      </c>
      <c r="AN83" s="104">
        <f>AB83-AA83</f>
        <v>-0.10099999999999909</v>
      </c>
      <c r="AO83" s="98">
        <f t="shared" si="74"/>
        <v>-2.8999999999996362E-2</v>
      </c>
      <c r="AP83" s="103">
        <f t="shared" si="75"/>
        <v>-1.2499999999999289E-2</v>
      </c>
      <c r="AQ83" s="103"/>
      <c r="AR83" s="103"/>
      <c r="AS83" s="104">
        <f t="shared" si="72"/>
        <v>-0.13700000000000045</v>
      </c>
      <c r="AT83" s="104">
        <f t="shared" si="73"/>
        <v>-0.14500000000001023</v>
      </c>
      <c r="AU83" s="104">
        <f t="shared" si="67"/>
        <v>0.1290000000000191</v>
      </c>
      <c r="AV83" s="104">
        <f t="shared" si="56"/>
        <v>-0.18700000000001182</v>
      </c>
      <c r="AW83" s="104">
        <f t="shared" si="61"/>
        <v>4.6999999999997044E-2</v>
      </c>
      <c r="AX83" s="104">
        <f t="shared" si="76"/>
        <v>4.500000000007276E-3</v>
      </c>
      <c r="AY83" s="104">
        <f t="shared" si="64"/>
        <v>2.199999999999136E-2</v>
      </c>
      <c r="AZ83" s="104">
        <f t="shared" si="65"/>
        <v>-3.2750000000000057E-2</v>
      </c>
    </row>
    <row r="84" spans="1:53" s="107" customFormat="1" x14ac:dyDescent="0.3">
      <c r="A84" s="108"/>
      <c r="E84" s="127"/>
      <c r="F84" s="127"/>
      <c r="G84" s="127"/>
      <c r="H84" s="127"/>
      <c r="I84" s="127"/>
      <c r="J84" s="127"/>
    </row>
    <row r="85" spans="1:53" s="107" customFormat="1" x14ac:dyDescent="0.3">
      <c r="A85" s="128">
        <v>-0.15</v>
      </c>
      <c r="B85" s="107" t="s">
        <v>93</v>
      </c>
    </row>
    <row r="86" spans="1:53" s="107" customFormat="1" x14ac:dyDescent="0.3">
      <c r="A86" s="108"/>
      <c r="E86" s="127"/>
      <c r="F86" s="127"/>
      <c r="G86" s="127"/>
      <c r="H86" s="127"/>
      <c r="I86" s="127"/>
      <c r="J86" s="127"/>
      <c r="AZ86" s="108"/>
      <c r="BA86" s="108"/>
    </row>
    <row r="87" spans="1:53" s="107" customFormat="1" x14ac:dyDescent="0.3">
      <c r="B87" s="107" t="s">
        <v>105</v>
      </c>
      <c r="AR87" s="129"/>
      <c r="AS87" s="129"/>
      <c r="AT87" s="129"/>
      <c r="AU87" s="129"/>
      <c r="AV87" s="129"/>
      <c r="AW87" s="129"/>
      <c r="AX87" s="129"/>
      <c r="AY87" s="129"/>
    </row>
    <row r="88" spans="1:53" s="107" customFormat="1" x14ac:dyDescent="0.3">
      <c r="A88" s="108"/>
      <c r="B88" s="127" t="s">
        <v>87</v>
      </c>
    </row>
    <row r="89" spans="1:53" s="107" customFormat="1" x14ac:dyDescent="0.3">
      <c r="A89" s="108"/>
      <c r="B89" s="127" t="s">
        <v>109</v>
      </c>
    </row>
    <row r="90" spans="1:53" s="107" customFormat="1" x14ac:dyDescent="0.3">
      <c r="A90" s="108"/>
      <c r="B90" s="127" t="s">
        <v>88</v>
      </c>
    </row>
    <row r="91" spans="1:53" s="107" customFormat="1" x14ac:dyDescent="0.3">
      <c r="A91" s="108"/>
      <c r="B91" s="127" t="s">
        <v>89</v>
      </c>
    </row>
    <row r="92" spans="1:53" s="107" customFormat="1" x14ac:dyDescent="0.3">
      <c r="A92" s="108"/>
      <c r="B92" s="127" t="s">
        <v>90</v>
      </c>
    </row>
    <row r="93" spans="1:53" s="107" customFormat="1" x14ac:dyDescent="0.3">
      <c r="A93" s="108"/>
      <c r="B93" s="127" t="s">
        <v>104</v>
      </c>
    </row>
    <row r="94" spans="1:53" s="107" customFormat="1" x14ac:dyDescent="0.3">
      <c r="A94" s="108"/>
      <c r="E94" s="127"/>
      <c r="F94" s="127"/>
      <c r="G94" s="127"/>
      <c r="H94" s="127"/>
      <c r="I94" s="127"/>
      <c r="J94" s="127"/>
    </row>
    <row r="95" spans="1:53" s="107" customFormat="1" x14ac:dyDescent="0.3">
      <c r="A95" s="108"/>
      <c r="B95" s="127" t="s">
        <v>106</v>
      </c>
      <c r="E95" s="127"/>
      <c r="F95" s="127"/>
      <c r="G95" s="127"/>
      <c r="H95" s="127"/>
      <c r="I95" s="127"/>
      <c r="J95" s="127"/>
    </row>
    <row r="96" spans="1:53" s="107" customFormat="1" x14ac:dyDescent="0.3">
      <c r="E96" s="127"/>
      <c r="F96" s="127"/>
      <c r="G96" s="127"/>
      <c r="H96" s="127"/>
      <c r="I96" s="127"/>
      <c r="J96" s="127"/>
    </row>
    <row r="97" spans="1:10" s="107" customFormat="1" x14ac:dyDescent="0.3">
      <c r="A97" s="108"/>
      <c r="B97" s="127" t="s">
        <v>128</v>
      </c>
      <c r="E97" s="127"/>
      <c r="F97" s="127"/>
      <c r="G97" s="127"/>
      <c r="H97" s="127"/>
      <c r="I97" s="127"/>
      <c r="J97" s="127"/>
    </row>
    <row r="98" spans="1:10" s="107" customFormat="1" x14ac:dyDescent="0.3">
      <c r="A98" s="108"/>
      <c r="E98" s="127"/>
      <c r="F98" s="127"/>
      <c r="G98" s="127"/>
      <c r="H98" s="127"/>
      <c r="I98" s="127"/>
      <c r="J98" s="127"/>
    </row>
    <row r="99" spans="1:10" s="107" customFormat="1" x14ac:dyDescent="0.3">
      <c r="A99" s="108"/>
      <c r="E99" s="127"/>
      <c r="F99" s="127"/>
      <c r="G99" s="127"/>
      <c r="H99" s="127"/>
      <c r="I99" s="127"/>
      <c r="J99" s="127"/>
    </row>
    <row r="100" spans="1:10" s="107" customFormat="1" x14ac:dyDescent="0.3">
      <c r="A100" s="108"/>
      <c r="E100" s="127"/>
      <c r="F100" s="127"/>
      <c r="G100" s="127"/>
      <c r="H100" s="127"/>
      <c r="I100" s="127"/>
      <c r="J100" s="127"/>
    </row>
    <row r="101" spans="1:10" s="107" customFormat="1" x14ac:dyDescent="0.3">
      <c r="A101" s="108"/>
      <c r="E101" s="127"/>
      <c r="F101" s="127"/>
      <c r="G101" s="127"/>
      <c r="H101" s="127"/>
      <c r="I101" s="127"/>
      <c r="J101" s="127"/>
    </row>
    <row r="102" spans="1:10" s="107" customFormat="1" x14ac:dyDescent="0.3">
      <c r="A102" s="108"/>
      <c r="E102" s="127"/>
      <c r="F102" s="127"/>
      <c r="G102" s="127"/>
      <c r="H102" s="127"/>
      <c r="I102" s="127"/>
      <c r="J102" s="127"/>
    </row>
    <row r="103" spans="1:10" s="107" customFormat="1" x14ac:dyDescent="0.3">
      <c r="A103" s="108"/>
      <c r="E103" s="127"/>
      <c r="F103" s="127"/>
      <c r="G103" s="127"/>
      <c r="H103" s="127"/>
      <c r="I103" s="127"/>
      <c r="J103" s="127"/>
    </row>
    <row r="104" spans="1:10" s="107" customFormat="1" x14ac:dyDescent="0.3">
      <c r="A104" s="108"/>
      <c r="E104" s="127"/>
      <c r="F104" s="127"/>
      <c r="G104" s="127"/>
      <c r="H104" s="127"/>
      <c r="I104" s="127"/>
      <c r="J104" s="127"/>
    </row>
    <row r="105" spans="1:10" s="107" customFormat="1" x14ac:dyDescent="0.3">
      <c r="A105" s="108"/>
      <c r="E105" s="127"/>
      <c r="F105" s="127"/>
      <c r="G105" s="127"/>
      <c r="H105" s="127"/>
      <c r="I105" s="127"/>
      <c r="J105" s="127"/>
    </row>
    <row r="106" spans="1:10" s="107" customFormat="1" x14ac:dyDescent="0.3">
      <c r="A106" s="108"/>
      <c r="E106" s="127"/>
      <c r="F106" s="127"/>
      <c r="G106" s="127"/>
      <c r="H106" s="127"/>
      <c r="I106" s="127"/>
      <c r="J106" s="127"/>
    </row>
    <row r="107" spans="1:10" s="107" customFormat="1" x14ac:dyDescent="0.3">
      <c r="A107" s="108"/>
      <c r="E107" s="127"/>
      <c r="F107" s="127"/>
      <c r="G107" s="127"/>
      <c r="H107" s="127"/>
      <c r="I107" s="127"/>
      <c r="J107" s="127"/>
    </row>
    <row r="108" spans="1:10" s="107" customFormat="1" x14ac:dyDescent="0.3">
      <c r="A108" s="108"/>
      <c r="E108" s="127"/>
      <c r="F108" s="127"/>
      <c r="G108" s="127"/>
      <c r="H108" s="127"/>
      <c r="I108" s="127"/>
      <c r="J108" s="127"/>
    </row>
    <row r="109" spans="1:10" s="107" customFormat="1" x14ac:dyDescent="0.3">
      <c r="A109" s="108"/>
      <c r="E109" s="127"/>
      <c r="F109" s="127"/>
      <c r="G109" s="127"/>
      <c r="H109" s="127"/>
      <c r="I109" s="127"/>
      <c r="J109" s="127"/>
    </row>
    <row r="110" spans="1:10" s="107" customFormat="1" x14ac:dyDescent="0.3">
      <c r="A110" s="108"/>
      <c r="E110" s="127"/>
      <c r="F110" s="127"/>
      <c r="G110" s="127"/>
      <c r="H110" s="127"/>
      <c r="I110" s="127"/>
      <c r="J110" s="127"/>
    </row>
    <row r="111" spans="1:10" s="107" customFormat="1" x14ac:dyDescent="0.3">
      <c r="A111" s="108"/>
      <c r="E111" s="127"/>
      <c r="F111" s="127"/>
      <c r="G111" s="127"/>
      <c r="H111" s="127"/>
      <c r="I111" s="127"/>
      <c r="J111" s="127"/>
    </row>
    <row r="112" spans="1:10" s="107" customFormat="1" x14ac:dyDescent="0.3">
      <c r="A112" s="108"/>
      <c r="E112" s="127"/>
      <c r="F112" s="127"/>
      <c r="G112" s="127"/>
      <c r="H112" s="127"/>
      <c r="I112" s="127"/>
      <c r="J112" s="127"/>
    </row>
    <row r="113" spans="1:52" s="107" customFormat="1" x14ac:dyDescent="0.3">
      <c r="A113" s="108"/>
      <c r="E113" s="127"/>
      <c r="F113" s="127"/>
      <c r="G113" s="127"/>
      <c r="H113" s="127"/>
      <c r="I113" s="127"/>
      <c r="J113" s="127"/>
    </row>
    <row r="114" spans="1:52" s="107" customFormat="1" x14ac:dyDescent="0.3">
      <c r="A114" s="108"/>
      <c r="E114" s="127"/>
      <c r="F114" s="127"/>
      <c r="G114" s="127"/>
      <c r="H114" s="127"/>
      <c r="I114" s="127"/>
      <c r="J114" s="127"/>
    </row>
    <row r="115" spans="1:52" s="107" customFormat="1" x14ac:dyDescent="0.3">
      <c r="A115" s="108"/>
      <c r="E115" s="127"/>
      <c r="F115" s="127"/>
      <c r="G115" s="127"/>
      <c r="H115" s="127"/>
      <c r="I115" s="127"/>
      <c r="J115" s="127"/>
    </row>
    <row r="116" spans="1:52" s="107" customFormat="1" x14ac:dyDescent="0.3">
      <c r="A116" s="108"/>
      <c r="E116" s="127"/>
      <c r="F116" s="127"/>
      <c r="G116" s="127"/>
      <c r="H116" s="127"/>
      <c r="I116" s="127"/>
      <c r="J116" s="127"/>
    </row>
    <row r="117" spans="1:52" s="107" customFormat="1" x14ac:dyDescent="0.3">
      <c r="A117" s="108"/>
      <c r="E117" s="127"/>
      <c r="F117" s="127"/>
      <c r="G117" s="127"/>
      <c r="H117" s="127"/>
      <c r="I117" s="127"/>
      <c r="J117" s="127"/>
    </row>
    <row r="118" spans="1:52" s="107" customFormat="1" x14ac:dyDescent="0.3">
      <c r="A118" s="108"/>
      <c r="E118" s="127"/>
      <c r="F118" s="127"/>
      <c r="G118" s="127"/>
      <c r="H118" s="127"/>
      <c r="I118" s="127"/>
      <c r="J118" s="127"/>
    </row>
    <row r="119" spans="1:52" s="107" customFormat="1" x14ac:dyDescent="0.3">
      <c r="A119" s="108"/>
      <c r="E119" s="127"/>
      <c r="F119" s="127"/>
      <c r="G119" s="127"/>
      <c r="H119" s="127"/>
      <c r="I119" s="127"/>
      <c r="J119" s="127"/>
    </row>
    <row r="120" spans="1:52" s="107" customFormat="1" x14ac:dyDescent="0.3">
      <c r="A120" s="108"/>
      <c r="E120" s="127"/>
      <c r="F120" s="127"/>
      <c r="G120" s="127"/>
      <c r="H120" s="127"/>
      <c r="I120" s="127"/>
      <c r="J120" s="127"/>
    </row>
    <row r="121" spans="1:52" s="107" customFormat="1" x14ac:dyDescent="0.3">
      <c r="A121" s="108"/>
      <c r="E121" s="127"/>
      <c r="F121" s="127"/>
      <c r="G121" s="127"/>
      <c r="H121" s="127"/>
      <c r="I121" s="127"/>
      <c r="J121" s="127"/>
      <c r="AZ121" s="108"/>
    </row>
    <row r="122" spans="1:52" s="107" customFormat="1" x14ac:dyDescent="0.3">
      <c r="A122" s="108"/>
      <c r="E122" s="127"/>
      <c r="F122" s="127"/>
      <c r="G122" s="127"/>
      <c r="H122" s="127"/>
      <c r="I122" s="127"/>
      <c r="J122" s="127"/>
      <c r="AZ122" s="108"/>
    </row>
    <row r="123" spans="1:52" s="107" customFormat="1" x14ac:dyDescent="0.3">
      <c r="A123" s="108"/>
      <c r="E123" s="127"/>
      <c r="F123" s="127"/>
      <c r="G123" s="127"/>
      <c r="H123" s="127"/>
      <c r="I123" s="127"/>
      <c r="J123" s="127"/>
      <c r="AZ123" s="108"/>
    </row>
    <row r="124" spans="1:52" s="107" customFormat="1" x14ac:dyDescent="0.3">
      <c r="A124" s="108"/>
      <c r="E124" s="127"/>
      <c r="F124" s="127"/>
      <c r="G124" s="127"/>
      <c r="H124" s="127"/>
      <c r="I124" s="127"/>
      <c r="J124" s="127"/>
      <c r="AZ124" s="108"/>
    </row>
    <row r="125" spans="1:52" s="107" customFormat="1" x14ac:dyDescent="0.3">
      <c r="A125" s="108"/>
      <c r="E125" s="127"/>
      <c r="F125" s="127"/>
      <c r="G125" s="127"/>
      <c r="H125" s="127"/>
      <c r="I125" s="127"/>
      <c r="J125" s="127"/>
      <c r="AZ125" s="108"/>
    </row>
    <row r="126" spans="1:52" s="107" customFormat="1" x14ac:dyDescent="0.3">
      <c r="A126" s="108"/>
      <c r="E126" s="127"/>
      <c r="F126" s="127"/>
      <c r="G126" s="127"/>
      <c r="H126" s="127"/>
      <c r="I126" s="127"/>
      <c r="J126" s="127"/>
      <c r="AZ126" s="108"/>
    </row>
    <row r="127" spans="1:52" s="107" customFormat="1" x14ac:dyDescent="0.3">
      <c r="A127" s="108"/>
      <c r="E127" s="127"/>
      <c r="F127" s="127"/>
      <c r="G127" s="127"/>
      <c r="H127" s="127"/>
      <c r="I127" s="127"/>
      <c r="J127" s="127"/>
      <c r="AZ127" s="108"/>
    </row>
    <row r="128" spans="1:52" s="107" customFormat="1" x14ac:dyDescent="0.3">
      <c r="A128" s="108"/>
      <c r="E128" s="127"/>
      <c r="F128" s="127"/>
      <c r="G128" s="127"/>
      <c r="H128" s="127"/>
      <c r="I128" s="127"/>
      <c r="J128" s="127"/>
      <c r="AZ128" s="108"/>
    </row>
    <row r="129" spans="1:52" s="107" customFormat="1" x14ac:dyDescent="0.3">
      <c r="A129" s="108"/>
      <c r="E129" s="127"/>
      <c r="F129" s="127"/>
      <c r="G129" s="127"/>
      <c r="H129" s="127"/>
      <c r="I129" s="127"/>
      <c r="J129" s="127"/>
      <c r="AZ129" s="108"/>
    </row>
    <row r="130" spans="1:52" s="107" customFormat="1" x14ac:dyDescent="0.3">
      <c r="A130" s="108"/>
      <c r="E130" s="127"/>
      <c r="F130" s="127"/>
      <c r="G130" s="127"/>
      <c r="H130" s="127"/>
      <c r="I130" s="127"/>
      <c r="J130" s="127"/>
      <c r="AZ130" s="108"/>
    </row>
    <row r="131" spans="1:52" s="107" customFormat="1" x14ac:dyDescent="0.3">
      <c r="A131" s="108"/>
      <c r="E131" s="127"/>
      <c r="F131" s="127"/>
      <c r="G131" s="127"/>
      <c r="H131" s="127"/>
      <c r="I131" s="127"/>
      <c r="J131" s="127"/>
      <c r="AZ131" s="108"/>
    </row>
    <row r="132" spans="1:52" s="107" customFormat="1" x14ac:dyDescent="0.3">
      <c r="A132" s="108"/>
      <c r="E132" s="127"/>
      <c r="F132" s="127"/>
      <c r="G132" s="127"/>
      <c r="H132" s="127"/>
      <c r="I132" s="127"/>
      <c r="J132" s="127"/>
      <c r="AZ132" s="108"/>
    </row>
    <row r="133" spans="1:52" s="107" customFormat="1" x14ac:dyDescent="0.3">
      <c r="A133" s="108"/>
      <c r="E133" s="127"/>
      <c r="F133" s="127"/>
      <c r="G133" s="127"/>
      <c r="H133" s="127"/>
      <c r="I133" s="127"/>
      <c r="J133" s="127"/>
      <c r="AZ133" s="108"/>
    </row>
    <row r="134" spans="1:52" s="107" customFormat="1" x14ac:dyDescent="0.3">
      <c r="A134" s="108"/>
      <c r="E134" s="127"/>
      <c r="F134" s="127"/>
      <c r="G134" s="127"/>
      <c r="H134" s="127"/>
      <c r="I134" s="127"/>
      <c r="J134" s="127"/>
      <c r="AZ134" s="108"/>
    </row>
    <row r="135" spans="1:52" s="107" customFormat="1" x14ac:dyDescent="0.3">
      <c r="A135" s="108"/>
      <c r="E135" s="127"/>
      <c r="F135" s="127"/>
      <c r="G135" s="127"/>
      <c r="H135" s="127"/>
      <c r="I135" s="127"/>
      <c r="J135" s="127"/>
      <c r="AZ135" s="108"/>
    </row>
    <row r="136" spans="1:52" s="107" customFormat="1" x14ac:dyDescent="0.3">
      <c r="A136" s="108"/>
      <c r="E136" s="127"/>
      <c r="F136" s="127"/>
      <c r="G136" s="127"/>
      <c r="H136" s="127"/>
      <c r="I136" s="127"/>
      <c r="J136" s="127"/>
      <c r="AZ136" s="108"/>
    </row>
    <row r="137" spans="1:52" s="107" customFormat="1" x14ac:dyDescent="0.3">
      <c r="A137" s="108"/>
      <c r="E137" s="127"/>
      <c r="F137" s="127"/>
      <c r="G137" s="127"/>
      <c r="H137" s="127"/>
      <c r="I137" s="127"/>
      <c r="J137" s="127"/>
      <c r="AZ137" s="108"/>
    </row>
    <row r="138" spans="1:52" s="107" customFormat="1" x14ac:dyDescent="0.3">
      <c r="A138" s="108"/>
      <c r="E138" s="127"/>
      <c r="F138" s="127"/>
      <c r="G138" s="127"/>
      <c r="H138" s="127"/>
      <c r="I138" s="127"/>
      <c r="J138" s="127"/>
      <c r="AZ138" s="108"/>
    </row>
    <row r="139" spans="1:52" s="107" customFormat="1" x14ac:dyDescent="0.3">
      <c r="A139" s="108"/>
      <c r="E139" s="127"/>
      <c r="F139" s="127"/>
      <c r="G139" s="127"/>
      <c r="H139" s="127"/>
      <c r="I139" s="127"/>
      <c r="J139" s="127"/>
      <c r="AZ139" s="108"/>
    </row>
    <row r="140" spans="1:52" s="107" customFormat="1" x14ac:dyDescent="0.3">
      <c r="A140" s="108"/>
      <c r="E140" s="127"/>
      <c r="F140" s="127"/>
      <c r="G140" s="127"/>
      <c r="H140" s="127"/>
      <c r="I140" s="127"/>
      <c r="J140" s="127"/>
      <c r="AZ140" s="108"/>
    </row>
    <row r="141" spans="1:52" s="107" customFormat="1" x14ac:dyDescent="0.3">
      <c r="A141" s="108"/>
      <c r="E141" s="127"/>
      <c r="F141" s="127"/>
      <c r="G141" s="127"/>
      <c r="H141" s="127"/>
      <c r="I141" s="127"/>
      <c r="J141" s="127"/>
      <c r="AZ141" s="108"/>
    </row>
    <row r="142" spans="1:52" s="107" customFormat="1" x14ac:dyDescent="0.3">
      <c r="A142" s="108"/>
      <c r="E142" s="127"/>
      <c r="F142" s="127"/>
      <c r="G142" s="127"/>
      <c r="H142" s="127"/>
      <c r="I142" s="127"/>
      <c r="J142" s="127"/>
      <c r="AZ142" s="108"/>
    </row>
    <row r="143" spans="1:52" s="107" customFormat="1" x14ac:dyDescent="0.3">
      <c r="A143" s="108"/>
      <c r="E143" s="127"/>
      <c r="F143" s="127"/>
      <c r="G143" s="127"/>
      <c r="H143" s="127"/>
      <c r="I143" s="127"/>
      <c r="J143" s="127"/>
      <c r="AZ143" s="108"/>
    </row>
    <row r="144" spans="1:52" s="107" customFormat="1" x14ac:dyDescent="0.3">
      <c r="A144" s="108"/>
      <c r="E144" s="127"/>
      <c r="F144" s="127"/>
      <c r="G144" s="127"/>
      <c r="H144" s="127"/>
      <c r="I144" s="127"/>
      <c r="J144" s="127"/>
      <c r="AZ144" s="108"/>
    </row>
    <row r="145" spans="1:52" s="107" customFormat="1" x14ac:dyDescent="0.3">
      <c r="A145" s="108"/>
      <c r="E145" s="127"/>
      <c r="F145" s="127"/>
      <c r="G145" s="127"/>
      <c r="H145" s="127"/>
      <c r="I145" s="127"/>
      <c r="J145" s="127"/>
      <c r="AZ145" s="108"/>
    </row>
    <row r="146" spans="1:52" s="107" customFormat="1" x14ac:dyDescent="0.3">
      <c r="A146" s="108"/>
      <c r="E146" s="127"/>
      <c r="F146" s="127"/>
      <c r="G146" s="127"/>
      <c r="H146" s="127"/>
      <c r="I146" s="127"/>
      <c r="J146" s="127"/>
      <c r="AZ146" s="108"/>
    </row>
    <row r="147" spans="1:52" s="107" customFormat="1" x14ac:dyDescent="0.3">
      <c r="A147" s="108"/>
      <c r="E147" s="127"/>
      <c r="F147" s="127"/>
      <c r="G147" s="127"/>
      <c r="H147" s="127"/>
      <c r="I147" s="127"/>
      <c r="J147" s="127"/>
      <c r="AZ147" s="108"/>
    </row>
    <row r="148" spans="1:52" s="107" customFormat="1" x14ac:dyDescent="0.3">
      <c r="A148" s="108"/>
      <c r="E148" s="127"/>
      <c r="F148" s="127"/>
      <c r="G148" s="127"/>
      <c r="H148" s="127"/>
      <c r="I148" s="127"/>
      <c r="J148" s="127"/>
      <c r="AZ148" s="108"/>
    </row>
    <row r="149" spans="1:52" s="107" customFormat="1" x14ac:dyDescent="0.3">
      <c r="A149" s="108"/>
      <c r="E149" s="127"/>
      <c r="F149" s="127"/>
      <c r="G149" s="127"/>
      <c r="H149" s="127"/>
      <c r="I149" s="127"/>
      <c r="J149" s="127"/>
      <c r="AZ149" s="108"/>
    </row>
    <row r="150" spans="1:52" s="107" customFormat="1" x14ac:dyDescent="0.3">
      <c r="A150" s="108"/>
      <c r="E150" s="127"/>
      <c r="F150" s="127"/>
      <c r="G150" s="127"/>
      <c r="H150" s="127"/>
      <c r="I150" s="127"/>
      <c r="J150" s="127"/>
      <c r="AZ150" s="108"/>
    </row>
    <row r="151" spans="1:52" s="107" customFormat="1" x14ac:dyDescent="0.3">
      <c r="A151" s="108"/>
      <c r="E151" s="127"/>
      <c r="F151" s="127"/>
      <c r="G151" s="127"/>
      <c r="H151" s="127"/>
      <c r="I151" s="127"/>
      <c r="J151" s="127"/>
      <c r="AZ151" s="108"/>
    </row>
    <row r="152" spans="1:52" s="107" customFormat="1" x14ac:dyDescent="0.3">
      <c r="A152" s="108"/>
      <c r="E152" s="127"/>
      <c r="F152" s="127"/>
      <c r="G152" s="127"/>
      <c r="H152" s="127"/>
      <c r="I152" s="127"/>
      <c r="J152" s="127"/>
      <c r="AZ152" s="108"/>
    </row>
    <row r="153" spans="1:52" s="107" customFormat="1" x14ac:dyDescent="0.3">
      <c r="A153" s="108"/>
      <c r="E153" s="127"/>
      <c r="F153" s="127"/>
      <c r="G153" s="127"/>
      <c r="H153" s="127"/>
      <c r="I153" s="127"/>
      <c r="J153" s="127"/>
      <c r="AZ153" s="108"/>
    </row>
    <row r="154" spans="1:52" s="107" customFormat="1" x14ac:dyDescent="0.3">
      <c r="A154" s="108"/>
      <c r="E154" s="127"/>
      <c r="F154" s="127"/>
      <c r="G154" s="127"/>
      <c r="H154" s="127"/>
      <c r="I154" s="127"/>
      <c r="J154" s="127"/>
      <c r="AZ154" s="108"/>
    </row>
    <row r="155" spans="1:52" s="107" customFormat="1" x14ac:dyDescent="0.3">
      <c r="A155" s="108"/>
      <c r="E155" s="127"/>
      <c r="F155" s="127"/>
      <c r="G155" s="127"/>
      <c r="H155" s="127"/>
      <c r="I155" s="127"/>
      <c r="J155" s="127"/>
      <c r="AZ155" s="108"/>
    </row>
    <row r="156" spans="1:52" s="107" customFormat="1" x14ac:dyDescent="0.3">
      <c r="A156" s="108"/>
      <c r="E156" s="127"/>
      <c r="F156" s="127"/>
      <c r="G156" s="127"/>
      <c r="H156" s="127"/>
      <c r="I156" s="127"/>
      <c r="J156" s="127"/>
      <c r="AZ156" s="108"/>
    </row>
    <row r="157" spans="1:52" s="107" customFormat="1" x14ac:dyDescent="0.3">
      <c r="A157" s="108"/>
      <c r="E157" s="127"/>
      <c r="F157" s="127"/>
      <c r="G157" s="127"/>
      <c r="H157" s="127"/>
      <c r="I157" s="127"/>
      <c r="J157" s="127"/>
      <c r="AZ157" s="108"/>
    </row>
    <row r="158" spans="1:52" s="107" customFormat="1" x14ac:dyDescent="0.3">
      <c r="A158" s="108"/>
      <c r="E158" s="127"/>
      <c r="F158" s="127"/>
      <c r="G158" s="127"/>
      <c r="H158" s="127"/>
      <c r="I158" s="127"/>
      <c r="J158" s="127"/>
      <c r="AZ158" s="108"/>
    </row>
    <row r="159" spans="1:52" s="107" customFormat="1" x14ac:dyDescent="0.3">
      <c r="A159" s="108"/>
      <c r="E159" s="127"/>
      <c r="F159" s="127"/>
      <c r="G159" s="127"/>
      <c r="H159" s="127"/>
      <c r="I159" s="127"/>
      <c r="J159" s="127"/>
      <c r="AZ159" s="108"/>
    </row>
    <row r="160" spans="1:52" s="107" customFormat="1" x14ac:dyDescent="0.3">
      <c r="A160" s="108"/>
      <c r="E160" s="127"/>
      <c r="F160" s="127"/>
      <c r="G160" s="127"/>
      <c r="H160" s="127"/>
      <c r="I160" s="127"/>
      <c r="J160" s="127"/>
      <c r="AZ160" s="108"/>
    </row>
    <row r="161" spans="1:52" s="107" customFormat="1" x14ac:dyDescent="0.3">
      <c r="A161" s="108"/>
      <c r="E161" s="127"/>
      <c r="F161" s="127"/>
      <c r="G161" s="127"/>
      <c r="H161" s="127"/>
      <c r="I161" s="127"/>
      <c r="J161" s="127"/>
      <c r="AZ161" s="108"/>
    </row>
    <row r="162" spans="1:52" s="107" customFormat="1" x14ac:dyDescent="0.3">
      <c r="A162" s="108"/>
      <c r="E162" s="127"/>
      <c r="F162" s="127"/>
      <c r="G162" s="127"/>
      <c r="H162" s="127"/>
      <c r="I162" s="127"/>
      <c r="J162" s="127"/>
      <c r="AZ162" s="108"/>
    </row>
    <row r="163" spans="1:52" s="107" customFormat="1" x14ac:dyDescent="0.3">
      <c r="A163" s="108"/>
      <c r="E163" s="127"/>
      <c r="F163" s="127"/>
      <c r="G163" s="127"/>
      <c r="H163" s="127"/>
      <c r="I163" s="127"/>
      <c r="J163" s="127"/>
      <c r="AZ163" s="108"/>
    </row>
    <row r="164" spans="1:52" s="107" customFormat="1" x14ac:dyDescent="0.3">
      <c r="A164" s="108"/>
      <c r="E164" s="127"/>
      <c r="F164" s="127"/>
      <c r="G164" s="127"/>
      <c r="H164" s="127"/>
      <c r="I164" s="127"/>
      <c r="J164" s="127"/>
      <c r="AZ164" s="108"/>
    </row>
    <row r="165" spans="1:52" s="107" customFormat="1" x14ac:dyDescent="0.3">
      <c r="A165" s="108"/>
      <c r="E165" s="127"/>
      <c r="F165" s="127"/>
      <c r="G165" s="127"/>
      <c r="H165" s="127"/>
      <c r="I165" s="127"/>
      <c r="J165" s="127"/>
      <c r="AZ165" s="108"/>
    </row>
    <row r="166" spans="1:52" s="107" customFormat="1" x14ac:dyDescent="0.3">
      <c r="A166" s="108"/>
      <c r="E166" s="127"/>
      <c r="F166" s="127"/>
      <c r="G166" s="127"/>
      <c r="H166" s="127"/>
      <c r="I166" s="127"/>
      <c r="J166" s="127"/>
      <c r="AZ166" s="108"/>
    </row>
    <row r="167" spans="1:52" s="107" customFormat="1" x14ac:dyDescent="0.3">
      <c r="A167" s="108"/>
      <c r="E167" s="127"/>
      <c r="F167" s="127"/>
      <c r="G167" s="127"/>
      <c r="H167" s="127"/>
      <c r="I167" s="127"/>
      <c r="J167" s="127"/>
      <c r="AZ167" s="108"/>
    </row>
    <row r="168" spans="1:52" s="107" customFormat="1" x14ac:dyDescent="0.3">
      <c r="A168" s="108"/>
      <c r="E168" s="127"/>
      <c r="F168" s="127"/>
      <c r="G168" s="127"/>
      <c r="H168" s="127"/>
      <c r="I168" s="127"/>
      <c r="J168" s="127"/>
      <c r="AZ168" s="108"/>
    </row>
    <row r="169" spans="1:52" s="107" customFormat="1" x14ac:dyDescent="0.3">
      <c r="A169" s="108"/>
      <c r="E169" s="127"/>
      <c r="F169" s="127"/>
      <c r="G169" s="127"/>
      <c r="H169" s="127"/>
      <c r="I169" s="127"/>
      <c r="J169" s="127"/>
      <c r="AZ169" s="108"/>
    </row>
    <row r="170" spans="1:52" s="107" customFormat="1" x14ac:dyDescent="0.3">
      <c r="A170" s="108"/>
      <c r="E170" s="127"/>
      <c r="F170" s="127"/>
      <c r="G170" s="127"/>
      <c r="H170" s="127"/>
      <c r="I170" s="127"/>
      <c r="J170" s="127"/>
      <c r="AZ170" s="108"/>
    </row>
    <row r="171" spans="1:52" s="107" customFormat="1" x14ac:dyDescent="0.3">
      <c r="A171" s="108"/>
      <c r="E171" s="127"/>
      <c r="F171" s="127"/>
      <c r="G171" s="127"/>
      <c r="H171" s="127"/>
      <c r="I171" s="127"/>
      <c r="J171" s="127"/>
      <c r="AZ171" s="108"/>
    </row>
    <row r="172" spans="1:52" s="107" customFormat="1" x14ac:dyDescent="0.3">
      <c r="A172" s="108"/>
      <c r="E172" s="127"/>
      <c r="F172" s="127"/>
      <c r="G172" s="127"/>
      <c r="H172" s="127"/>
      <c r="I172" s="127"/>
      <c r="J172" s="127"/>
      <c r="AZ172" s="108"/>
    </row>
    <row r="173" spans="1:52" s="107" customFormat="1" x14ac:dyDescent="0.3">
      <c r="A173" s="108"/>
      <c r="E173" s="127"/>
      <c r="F173" s="127"/>
      <c r="G173" s="127"/>
      <c r="H173" s="127"/>
      <c r="I173" s="127"/>
      <c r="J173" s="127"/>
      <c r="AZ173" s="108"/>
    </row>
    <row r="174" spans="1:52" s="107" customFormat="1" x14ac:dyDescent="0.3">
      <c r="A174" s="108"/>
      <c r="E174" s="127"/>
      <c r="F174" s="127"/>
      <c r="G174" s="127"/>
      <c r="H174" s="127"/>
      <c r="I174" s="127"/>
      <c r="J174" s="127"/>
      <c r="AZ174" s="108"/>
    </row>
    <row r="175" spans="1:52" s="107" customFormat="1" x14ac:dyDescent="0.3">
      <c r="A175" s="108"/>
      <c r="E175" s="127"/>
      <c r="F175" s="127"/>
      <c r="G175" s="127"/>
      <c r="H175" s="127"/>
      <c r="I175" s="127"/>
      <c r="J175" s="127"/>
      <c r="AZ175" s="108"/>
    </row>
    <row r="176" spans="1:52" s="107" customFormat="1" x14ac:dyDescent="0.3">
      <c r="A176" s="108"/>
      <c r="E176" s="127"/>
      <c r="F176" s="127"/>
      <c r="G176" s="127"/>
      <c r="H176" s="127"/>
      <c r="I176" s="127"/>
      <c r="J176" s="127"/>
      <c r="AZ176" s="108"/>
    </row>
    <row r="177" spans="1:52" s="107" customFormat="1" x14ac:dyDescent="0.3">
      <c r="A177" s="108"/>
      <c r="E177" s="127"/>
      <c r="F177" s="127"/>
      <c r="G177" s="127"/>
      <c r="H177" s="127"/>
      <c r="I177" s="127"/>
      <c r="J177" s="127"/>
      <c r="AZ177" s="108"/>
    </row>
    <row r="178" spans="1:52" s="107" customFormat="1" x14ac:dyDescent="0.3">
      <c r="A178" s="108"/>
      <c r="E178" s="127"/>
      <c r="F178" s="127"/>
      <c r="G178" s="127"/>
      <c r="H178" s="127"/>
      <c r="I178" s="127"/>
      <c r="J178" s="127"/>
      <c r="AZ178" s="108"/>
    </row>
    <row r="179" spans="1:52" s="107" customFormat="1" x14ac:dyDescent="0.3">
      <c r="A179" s="108"/>
      <c r="E179" s="127"/>
      <c r="F179" s="127"/>
      <c r="G179" s="127"/>
      <c r="H179" s="127"/>
      <c r="I179" s="127"/>
      <c r="J179" s="127"/>
      <c r="AZ179" s="108"/>
    </row>
    <row r="180" spans="1:52" s="107" customFormat="1" x14ac:dyDescent="0.3">
      <c r="A180" s="108"/>
      <c r="E180" s="127"/>
      <c r="F180" s="127"/>
      <c r="G180" s="127"/>
      <c r="H180" s="127"/>
      <c r="I180" s="127"/>
      <c r="J180" s="127"/>
      <c r="AZ180" s="108"/>
    </row>
    <row r="181" spans="1:52" s="107" customFormat="1" x14ac:dyDescent="0.3">
      <c r="A181" s="108"/>
      <c r="E181" s="127"/>
      <c r="F181" s="127"/>
      <c r="G181" s="127"/>
      <c r="H181" s="127"/>
      <c r="I181" s="127"/>
      <c r="J181" s="127"/>
      <c r="AZ181" s="108"/>
    </row>
    <row r="182" spans="1:52" s="107" customFormat="1" x14ac:dyDescent="0.3">
      <c r="A182" s="108"/>
      <c r="E182" s="127"/>
      <c r="F182" s="127"/>
      <c r="G182" s="127"/>
      <c r="H182" s="127"/>
      <c r="I182" s="127"/>
      <c r="J182" s="127"/>
      <c r="AZ182" s="108"/>
    </row>
    <row r="183" spans="1:52" s="107" customFormat="1" x14ac:dyDescent="0.3">
      <c r="A183" s="108"/>
      <c r="E183" s="127"/>
      <c r="F183" s="127"/>
      <c r="G183" s="127"/>
      <c r="H183" s="127"/>
      <c r="I183" s="127"/>
      <c r="J183" s="127"/>
      <c r="AZ183" s="108"/>
    </row>
    <row r="184" spans="1:52" s="107" customFormat="1" x14ac:dyDescent="0.3">
      <c r="A184" s="108"/>
      <c r="E184" s="127"/>
      <c r="F184" s="127"/>
      <c r="G184" s="127"/>
      <c r="H184" s="127"/>
      <c r="I184" s="127"/>
      <c r="J184" s="127"/>
      <c r="AZ184" s="108"/>
    </row>
    <row r="185" spans="1:52" s="107" customFormat="1" x14ac:dyDescent="0.3">
      <c r="A185" s="108"/>
      <c r="E185" s="127"/>
      <c r="F185" s="127"/>
      <c r="G185" s="127"/>
      <c r="H185" s="127"/>
      <c r="I185" s="127"/>
      <c r="J185" s="127"/>
      <c r="AZ185" s="108"/>
    </row>
    <row r="186" spans="1:52" s="107" customFormat="1" x14ac:dyDescent="0.3">
      <c r="A186" s="108"/>
      <c r="E186" s="127"/>
      <c r="F186" s="127"/>
      <c r="G186" s="127"/>
      <c r="H186" s="127"/>
      <c r="I186" s="127"/>
      <c r="J186" s="127"/>
      <c r="AZ186" s="108"/>
    </row>
    <row r="187" spans="1:52" s="107" customFormat="1" x14ac:dyDescent="0.3">
      <c r="A187" s="108"/>
      <c r="E187" s="127"/>
      <c r="F187" s="127"/>
      <c r="G187" s="127"/>
      <c r="H187" s="127"/>
      <c r="I187" s="127"/>
      <c r="J187" s="127"/>
      <c r="AZ187" s="108"/>
    </row>
    <row r="188" spans="1:52" s="107" customFormat="1" x14ac:dyDescent="0.3">
      <c r="A188" s="108"/>
      <c r="E188" s="127"/>
      <c r="F188" s="127"/>
      <c r="G188" s="127"/>
      <c r="H188" s="127"/>
      <c r="I188" s="127"/>
      <c r="J188" s="127"/>
      <c r="AZ188" s="108"/>
    </row>
    <row r="189" spans="1:52" s="107" customFormat="1" x14ac:dyDescent="0.3">
      <c r="A189" s="108"/>
      <c r="E189" s="127"/>
      <c r="F189" s="127"/>
      <c r="G189" s="127"/>
      <c r="H189" s="127"/>
      <c r="I189" s="127"/>
      <c r="J189" s="127"/>
      <c r="AZ189" s="108"/>
    </row>
    <row r="190" spans="1:52" s="107" customFormat="1" x14ac:dyDescent="0.3">
      <c r="A190" s="108"/>
      <c r="E190" s="127"/>
      <c r="F190" s="127"/>
      <c r="G190" s="127"/>
      <c r="H190" s="127"/>
      <c r="I190" s="127"/>
      <c r="J190" s="127"/>
      <c r="AZ190" s="108"/>
    </row>
    <row r="191" spans="1:52" s="107" customFormat="1" x14ac:dyDescent="0.3">
      <c r="A191" s="108"/>
      <c r="E191" s="127"/>
      <c r="F191" s="127"/>
      <c r="G191" s="127"/>
      <c r="H191" s="127"/>
      <c r="I191" s="127"/>
      <c r="J191" s="127"/>
      <c r="AZ191" s="108"/>
    </row>
    <row r="192" spans="1:52" s="107" customFormat="1" x14ac:dyDescent="0.3">
      <c r="A192" s="108"/>
      <c r="E192" s="127"/>
      <c r="F192" s="127"/>
      <c r="G192" s="127"/>
      <c r="H192" s="127"/>
      <c r="I192" s="127"/>
      <c r="J192" s="127"/>
      <c r="AZ192" s="108"/>
    </row>
    <row r="193" spans="1:52" s="107" customFormat="1" x14ac:dyDescent="0.3">
      <c r="A193" s="108"/>
      <c r="E193" s="127"/>
      <c r="F193" s="127"/>
      <c r="G193" s="127"/>
      <c r="H193" s="127"/>
      <c r="I193" s="127"/>
      <c r="J193" s="127"/>
      <c r="AZ193" s="108"/>
    </row>
    <row r="194" spans="1:52" s="107" customFormat="1" x14ac:dyDescent="0.3">
      <c r="A194" s="108"/>
      <c r="E194" s="127"/>
      <c r="F194" s="127"/>
      <c r="G194" s="127"/>
      <c r="H194" s="127"/>
      <c r="I194" s="127"/>
      <c r="J194" s="127"/>
      <c r="AZ194" s="108"/>
    </row>
    <row r="195" spans="1:52" s="107" customFormat="1" x14ac:dyDescent="0.3">
      <c r="A195" s="108"/>
      <c r="E195" s="127"/>
      <c r="F195" s="127"/>
      <c r="G195" s="127"/>
      <c r="H195" s="127"/>
      <c r="I195" s="127"/>
      <c r="J195" s="127"/>
      <c r="AZ195" s="108"/>
    </row>
    <row r="196" spans="1:52" s="107" customFormat="1" x14ac:dyDescent="0.3">
      <c r="A196" s="108"/>
      <c r="E196" s="127"/>
      <c r="F196" s="127"/>
      <c r="G196" s="127"/>
      <c r="H196" s="127"/>
      <c r="I196" s="127"/>
      <c r="J196" s="127"/>
      <c r="AZ196" s="108"/>
    </row>
    <row r="197" spans="1:52" s="107" customFormat="1" x14ac:dyDescent="0.3">
      <c r="A197" s="108"/>
      <c r="E197" s="127"/>
      <c r="F197" s="127"/>
      <c r="G197" s="127"/>
      <c r="H197" s="127"/>
      <c r="I197" s="127"/>
      <c r="J197" s="127"/>
      <c r="AZ197" s="108"/>
    </row>
    <row r="198" spans="1:52" s="107" customFormat="1" x14ac:dyDescent="0.3">
      <c r="A198" s="108"/>
      <c r="E198" s="127"/>
      <c r="F198" s="127"/>
      <c r="G198" s="127"/>
      <c r="H198" s="127"/>
      <c r="I198" s="127"/>
      <c r="J198" s="127"/>
      <c r="AZ198" s="108"/>
    </row>
    <row r="199" spans="1:52" s="107" customFormat="1" x14ac:dyDescent="0.3">
      <c r="A199" s="108"/>
      <c r="E199" s="127"/>
      <c r="F199" s="127"/>
      <c r="G199" s="127"/>
      <c r="H199" s="127"/>
      <c r="I199" s="127"/>
      <c r="J199" s="127"/>
      <c r="AZ199" s="108"/>
    </row>
    <row r="200" spans="1:52" s="107" customFormat="1" x14ac:dyDescent="0.3">
      <c r="A200" s="108"/>
      <c r="E200" s="127"/>
      <c r="F200" s="127"/>
      <c r="G200" s="127"/>
      <c r="H200" s="127"/>
      <c r="I200" s="127"/>
      <c r="J200" s="127"/>
      <c r="AZ200" s="108"/>
    </row>
    <row r="201" spans="1:52" s="107" customFormat="1" x14ac:dyDescent="0.3">
      <c r="A201" s="108"/>
      <c r="E201" s="127"/>
      <c r="F201" s="127"/>
      <c r="G201" s="127"/>
      <c r="H201" s="127"/>
      <c r="I201" s="127"/>
      <c r="J201" s="127"/>
      <c r="AZ201" s="108"/>
    </row>
    <row r="202" spans="1:52" s="107" customFormat="1" x14ac:dyDescent="0.3">
      <c r="A202" s="108"/>
      <c r="E202" s="127"/>
      <c r="F202" s="127"/>
      <c r="G202" s="127"/>
      <c r="H202" s="127"/>
      <c r="I202" s="127"/>
      <c r="J202" s="127"/>
      <c r="AZ202" s="108"/>
    </row>
    <row r="203" spans="1:52" s="107" customFormat="1" x14ac:dyDescent="0.3">
      <c r="A203" s="108"/>
      <c r="E203" s="127"/>
      <c r="F203" s="127"/>
      <c r="G203" s="127"/>
      <c r="H203" s="127"/>
      <c r="I203" s="127"/>
      <c r="J203" s="127"/>
      <c r="AZ203" s="108"/>
    </row>
    <row r="204" spans="1:52" s="107" customFormat="1" x14ac:dyDescent="0.3">
      <c r="A204" s="108"/>
      <c r="E204" s="127"/>
      <c r="F204" s="127"/>
      <c r="G204" s="127"/>
      <c r="H204" s="127"/>
      <c r="I204" s="127"/>
      <c r="J204" s="127"/>
      <c r="AZ204" s="108"/>
    </row>
    <row r="205" spans="1:52" s="107" customFormat="1" x14ac:dyDescent="0.3">
      <c r="A205" s="108"/>
      <c r="E205" s="127"/>
      <c r="F205" s="127"/>
      <c r="G205" s="127"/>
      <c r="H205" s="127"/>
      <c r="I205" s="127"/>
      <c r="J205" s="127"/>
      <c r="AZ205" s="108"/>
    </row>
    <row r="206" spans="1:52" s="107" customFormat="1" x14ac:dyDescent="0.3">
      <c r="A206" s="108"/>
      <c r="E206" s="127"/>
      <c r="F206" s="127"/>
      <c r="G206" s="127"/>
      <c r="H206" s="127"/>
      <c r="I206" s="127"/>
      <c r="J206" s="127"/>
      <c r="AZ206" s="108"/>
    </row>
    <row r="207" spans="1:52" s="107" customFormat="1" x14ac:dyDescent="0.3">
      <c r="A207" s="108"/>
      <c r="E207" s="127"/>
      <c r="F207" s="127"/>
      <c r="G207" s="127"/>
      <c r="H207" s="127"/>
      <c r="I207" s="127"/>
      <c r="J207" s="127"/>
      <c r="AZ207" s="108"/>
    </row>
    <row r="208" spans="1:52" s="107" customFormat="1" x14ac:dyDescent="0.3">
      <c r="A208" s="108"/>
      <c r="E208" s="127"/>
      <c r="F208" s="127"/>
      <c r="G208" s="127"/>
      <c r="H208" s="127"/>
      <c r="I208" s="127"/>
      <c r="J208" s="127"/>
      <c r="AZ208" s="108"/>
    </row>
    <row r="209" spans="1:52" s="107" customFormat="1" x14ac:dyDescent="0.3">
      <c r="A209" s="108"/>
      <c r="E209" s="127"/>
      <c r="F209" s="127"/>
      <c r="G209" s="127"/>
      <c r="H209" s="127"/>
      <c r="I209" s="127"/>
      <c r="J209" s="127"/>
      <c r="AZ209" s="108"/>
    </row>
    <row r="210" spans="1:52" s="107" customFormat="1" x14ac:dyDescent="0.3">
      <c r="A210" s="108"/>
      <c r="E210" s="127"/>
      <c r="F210" s="127"/>
      <c r="G210" s="127"/>
      <c r="H210" s="127"/>
      <c r="I210" s="127"/>
      <c r="J210" s="127"/>
      <c r="AZ210" s="108"/>
    </row>
    <row r="211" spans="1:52" s="107" customFormat="1" x14ac:dyDescent="0.3">
      <c r="A211" s="108"/>
      <c r="E211" s="127"/>
      <c r="F211" s="127"/>
      <c r="G211" s="127"/>
      <c r="H211" s="127"/>
      <c r="I211" s="127"/>
      <c r="J211" s="127"/>
      <c r="AZ211" s="108"/>
    </row>
    <row r="212" spans="1:52" s="107" customFormat="1" x14ac:dyDescent="0.3">
      <c r="A212" s="108"/>
      <c r="E212" s="127"/>
      <c r="F212" s="127"/>
      <c r="G212" s="127"/>
      <c r="H212" s="127"/>
      <c r="I212" s="127"/>
      <c r="J212" s="127"/>
      <c r="AZ212" s="108"/>
    </row>
    <row r="213" spans="1:52" s="107" customFormat="1" x14ac:dyDescent="0.3">
      <c r="A213" s="108"/>
      <c r="E213" s="127"/>
      <c r="F213" s="127"/>
      <c r="G213" s="127"/>
      <c r="H213" s="127"/>
      <c r="I213" s="127"/>
      <c r="J213" s="127"/>
      <c r="AZ213" s="108"/>
    </row>
    <row r="214" spans="1:52" s="107" customFormat="1" x14ac:dyDescent="0.3">
      <c r="A214" s="108"/>
      <c r="E214" s="127"/>
      <c r="F214" s="127"/>
      <c r="G214" s="127"/>
      <c r="H214" s="127"/>
      <c r="I214" s="127"/>
      <c r="J214" s="127"/>
      <c r="AZ214" s="108"/>
    </row>
    <row r="215" spans="1:52" s="107" customFormat="1" x14ac:dyDescent="0.3">
      <c r="A215" s="108"/>
      <c r="E215" s="127"/>
      <c r="F215" s="127"/>
      <c r="G215" s="127"/>
      <c r="H215" s="127"/>
      <c r="I215" s="127"/>
      <c r="J215" s="127"/>
      <c r="AZ215" s="108"/>
    </row>
    <row r="216" spans="1:52" s="107" customFormat="1" x14ac:dyDescent="0.3">
      <c r="A216" s="108"/>
      <c r="E216" s="127"/>
      <c r="F216" s="127"/>
      <c r="G216" s="127"/>
      <c r="H216" s="127"/>
      <c r="I216" s="127"/>
      <c r="J216" s="127"/>
      <c r="AZ216" s="108"/>
    </row>
    <row r="217" spans="1:52" s="107" customFormat="1" x14ac:dyDescent="0.3">
      <c r="A217" s="108"/>
      <c r="E217" s="127"/>
      <c r="F217" s="127"/>
      <c r="G217" s="127"/>
      <c r="H217" s="127"/>
      <c r="I217" s="127"/>
      <c r="J217" s="127"/>
      <c r="AZ217" s="108"/>
    </row>
    <row r="218" spans="1:52" s="107" customFormat="1" x14ac:dyDescent="0.3">
      <c r="A218" s="108"/>
      <c r="E218" s="127"/>
      <c r="F218" s="127"/>
      <c r="G218" s="127"/>
      <c r="H218" s="127"/>
      <c r="I218" s="127"/>
      <c r="J218" s="127"/>
      <c r="AZ218" s="108"/>
    </row>
    <row r="219" spans="1:52" s="107" customFormat="1" x14ac:dyDescent="0.3">
      <c r="A219" s="108"/>
      <c r="E219" s="127"/>
      <c r="F219" s="127"/>
      <c r="G219" s="127"/>
      <c r="H219" s="127"/>
      <c r="I219" s="127"/>
      <c r="J219" s="127"/>
      <c r="AZ219" s="108"/>
    </row>
    <row r="220" spans="1:52" s="107" customFormat="1" x14ac:dyDescent="0.3">
      <c r="A220" s="108"/>
      <c r="E220" s="127"/>
      <c r="F220" s="127"/>
      <c r="G220" s="127"/>
      <c r="H220" s="127"/>
      <c r="I220" s="127"/>
      <c r="J220" s="127"/>
      <c r="AZ220" s="108"/>
    </row>
    <row r="221" spans="1:52" s="107" customFormat="1" x14ac:dyDescent="0.3">
      <c r="A221" s="108"/>
      <c r="E221" s="127"/>
      <c r="F221" s="127"/>
      <c r="G221" s="127"/>
      <c r="H221" s="127"/>
      <c r="I221" s="127"/>
      <c r="J221" s="127"/>
      <c r="AZ221" s="108"/>
    </row>
    <row r="222" spans="1:52" s="107" customFormat="1" x14ac:dyDescent="0.3">
      <c r="A222" s="108"/>
      <c r="E222" s="127"/>
      <c r="F222" s="127"/>
      <c r="G222" s="127"/>
      <c r="H222" s="127"/>
      <c r="I222" s="127"/>
      <c r="J222" s="127"/>
      <c r="AZ222" s="108"/>
    </row>
    <row r="223" spans="1:52" s="107" customFormat="1" x14ac:dyDescent="0.3">
      <c r="A223" s="108"/>
      <c r="E223" s="127"/>
      <c r="F223" s="127"/>
      <c r="G223" s="127"/>
      <c r="H223" s="127"/>
      <c r="I223" s="127"/>
      <c r="J223" s="127"/>
      <c r="AZ223" s="108"/>
    </row>
    <row r="224" spans="1:52" s="107" customFormat="1" x14ac:dyDescent="0.3">
      <c r="A224" s="108"/>
      <c r="E224" s="127"/>
      <c r="F224" s="127"/>
      <c r="G224" s="127"/>
      <c r="H224" s="127"/>
      <c r="I224" s="127"/>
      <c r="J224" s="127"/>
      <c r="AZ224" s="108"/>
    </row>
    <row r="225" spans="1:52" s="107" customFormat="1" x14ac:dyDescent="0.3">
      <c r="A225" s="108"/>
      <c r="E225" s="127"/>
      <c r="F225" s="127"/>
      <c r="G225" s="127"/>
      <c r="H225" s="127"/>
      <c r="I225" s="127"/>
      <c r="J225" s="127"/>
      <c r="AZ225" s="108"/>
    </row>
    <row r="226" spans="1:52" s="107" customFormat="1" x14ac:dyDescent="0.3">
      <c r="A226" s="108"/>
      <c r="E226" s="127"/>
      <c r="F226" s="127"/>
      <c r="G226" s="127"/>
      <c r="H226" s="127"/>
      <c r="I226" s="127"/>
      <c r="J226" s="127"/>
      <c r="AZ226" s="108"/>
    </row>
    <row r="227" spans="1:52" s="107" customFormat="1" x14ac:dyDescent="0.3">
      <c r="A227" s="108"/>
      <c r="E227" s="127"/>
      <c r="F227" s="127"/>
      <c r="G227" s="127"/>
      <c r="H227" s="127"/>
      <c r="I227" s="127"/>
      <c r="J227" s="127"/>
      <c r="AZ227" s="108"/>
    </row>
    <row r="228" spans="1:52" s="107" customFormat="1" x14ac:dyDescent="0.3">
      <c r="A228" s="108"/>
      <c r="E228" s="127"/>
      <c r="F228" s="127"/>
      <c r="G228" s="127"/>
      <c r="H228" s="127"/>
      <c r="I228" s="127"/>
      <c r="J228" s="127"/>
      <c r="AZ228" s="108"/>
    </row>
    <row r="229" spans="1:52" s="107" customFormat="1" x14ac:dyDescent="0.3">
      <c r="A229" s="108"/>
      <c r="E229" s="127"/>
      <c r="F229" s="127"/>
      <c r="G229" s="127"/>
      <c r="H229" s="127"/>
      <c r="I229" s="127"/>
      <c r="J229" s="127"/>
      <c r="AZ229" s="108"/>
    </row>
    <row r="230" spans="1:52" s="107" customFormat="1" x14ac:dyDescent="0.3">
      <c r="A230" s="108"/>
      <c r="E230" s="127"/>
      <c r="F230" s="127"/>
      <c r="G230" s="127"/>
      <c r="H230" s="127"/>
      <c r="I230" s="127"/>
      <c r="J230" s="127"/>
      <c r="AZ230" s="108"/>
    </row>
    <row r="231" spans="1:52" s="107" customFormat="1" x14ac:dyDescent="0.3">
      <c r="A231" s="108"/>
      <c r="E231" s="127"/>
      <c r="F231" s="127"/>
      <c r="G231" s="127"/>
      <c r="H231" s="127"/>
      <c r="I231" s="127"/>
      <c r="J231" s="127"/>
      <c r="AZ231" s="108"/>
    </row>
    <row r="232" spans="1:52" s="107" customFormat="1" x14ac:dyDescent="0.3">
      <c r="A232" s="108"/>
      <c r="E232" s="127"/>
      <c r="F232" s="127"/>
      <c r="G232" s="127"/>
      <c r="H232" s="127"/>
      <c r="I232" s="127"/>
      <c r="J232" s="127"/>
      <c r="AZ232" s="108"/>
    </row>
    <row r="233" spans="1:52" s="107" customFormat="1" x14ac:dyDescent="0.3">
      <c r="A233" s="108"/>
      <c r="E233" s="127"/>
      <c r="F233" s="127"/>
      <c r="G233" s="127"/>
      <c r="H233" s="127"/>
      <c r="I233" s="127"/>
      <c r="J233" s="127"/>
      <c r="AZ233" s="108"/>
    </row>
    <row r="234" spans="1:52" s="107" customFormat="1" x14ac:dyDescent="0.3">
      <c r="A234" s="108"/>
      <c r="E234" s="127"/>
      <c r="F234" s="127"/>
      <c r="G234" s="127"/>
      <c r="H234" s="127"/>
      <c r="I234" s="127"/>
      <c r="J234" s="127"/>
      <c r="AZ234" s="108"/>
    </row>
    <row r="235" spans="1:52" s="107" customFormat="1" x14ac:dyDescent="0.3">
      <c r="A235" s="108"/>
      <c r="E235" s="127"/>
      <c r="F235" s="127"/>
      <c r="G235" s="127"/>
      <c r="H235" s="127"/>
      <c r="I235" s="127"/>
      <c r="J235" s="127"/>
      <c r="AZ235" s="108"/>
    </row>
    <row r="236" spans="1:52" s="107" customFormat="1" x14ac:dyDescent="0.3">
      <c r="A236" s="108"/>
      <c r="E236" s="127"/>
      <c r="F236" s="127"/>
      <c r="G236" s="127"/>
      <c r="H236" s="127"/>
      <c r="I236" s="127"/>
      <c r="J236" s="127"/>
      <c r="AZ236" s="108"/>
    </row>
    <row r="237" spans="1:52" s="107" customFormat="1" x14ac:dyDescent="0.3">
      <c r="A237" s="108"/>
      <c r="E237" s="127"/>
      <c r="F237" s="127"/>
      <c r="G237" s="127"/>
      <c r="H237" s="127"/>
      <c r="I237" s="127"/>
      <c r="J237" s="127"/>
      <c r="AZ237" s="108"/>
    </row>
    <row r="238" spans="1:52" s="107" customFormat="1" x14ac:dyDescent="0.3">
      <c r="A238" s="108"/>
      <c r="E238" s="127"/>
      <c r="F238" s="127"/>
      <c r="G238" s="127"/>
      <c r="H238" s="127"/>
      <c r="I238" s="127"/>
      <c r="J238" s="127"/>
      <c r="AZ238" s="108"/>
    </row>
    <row r="239" spans="1:52" s="107" customFormat="1" x14ac:dyDescent="0.3">
      <c r="A239" s="108"/>
      <c r="E239" s="127"/>
      <c r="F239" s="127"/>
      <c r="G239" s="127"/>
      <c r="H239" s="127"/>
      <c r="I239" s="127"/>
      <c r="J239" s="127"/>
      <c r="AZ239" s="108"/>
    </row>
    <row r="240" spans="1:52" s="107" customFormat="1" x14ac:dyDescent="0.3">
      <c r="A240" s="108"/>
      <c r="E240" s="127"/>
      <c r="F240" s="127"/>
      <c r="G240" s="127"/>
      <c r="H240" s="127"/>
      <c r="I240" s="127"/>
      <c r="J240" s="127"/>
      <c r="AZ240" s="108"/>
    </row>
    <row r="241" spans="1:52" s="107" customFormat="1" x14ac:dyDescent="0.3">
      <c r="A241" s="108"/>
      <c r="E241" s="127"/>
      <c r="F241" s="127"/>
      <c r="G241" s="127"/>
      <c r="H241" s="127"/>
      <c r="I241" s="127"/>
      <c r="J241" s="127"/>
      <c r="AZ241" s="108"/>
    </row>
    <row r="242" spans="1:52" s="107" customFormat="1" x14ac:dyDescent="0.3">
      <c r="A242" s="108"/>
      <c r="E242" s="127"/>
      <c r="F242" s="127"/>
      <c r="G242" s="127"/>
      <c r="H242" s="127"/>
      <c r="I242" s="127"/>
      <c r="J242" s="127"/>
      <c r="AZ242" s="108"/>
    </row>
    <row r="243" spans="1:52" s="107" customFormat="1" x14ac:dyDescent="0.3">
      <c r="A243" s="108"/>
      <c r="E243" s="127"/>
      <c r="F243" s="127"/>
      <c r="G243" s="127"/>
      <c r="H243" s="127"/>
      <c r="I243" s="127"/>
      <c r="J243" s="127"/>
      <c r="AZ243" s="108"/>
    </row>
    <row r="244" spans="1:52" s="107" customFormat="1" x14ac:dyDescent="0.3">
      <c r="A244" s="108"/>
      <c r="E244" s="127"/>
      <c r="F244" s="127"/>
      <c r="G244" s="127"/>
      <c r="H244" s="127"/>
      <c r="I244" s="127"/>
      <c r="J244" s="127"/>
      <c r="AZ244" s="108"/>
    </row>
    <row r="245" spans="1:52" s="107" customFormat="1" x14ac:dyDescent="0.3">
      <c r="A245" s="108"/>
      <c r="E245" s="127"/>
      <c r="F245" s="127"/>
      <c r="G245" s="127"/>
      <c r="H245" s="127"/>
      <c r="I245" s="127"/>
      <c r="J245" s="127"/>
      <c r="AZ245" s="108"/>
    </row>
    <row r="246" spans="1:52" s="107" customFormat="1" x14ac:dyDescent="0.3">
      <c r="A246" s="108"/>
      <c r="E246" s="127"/>
      <c r="F246" s="127"/>
      <c r="G246" s="127"/>
      <c r="H246" s="127"/>
      <c r="I246" s="127"/>
      <c r="J246" s="127"/>
      <c r="AZ246" s="108"/>
    </row>
    <row r="247" spans="1:52" s="107" customFormat="1" x14ac:dyDescent="0.3">
      <c r="A247" s="108"/>
      <c r="E247" s="127"/>
      <c r="F247" s="127"/>
      <c r="G247" s="127"/>
      <c r="H247" s="127"/>
      <c r="I247" s="127"/>
      <c r="J247" s="127"/>
      <c r="AZ247" s="108"/>
    </row>
    <row r="248" spans="1:52" s="107" customFormat="1" x14ac:dyDescent="0.3">
      <c r="A248" s="108"/>
      <c r="E248" s="127"/>
      <c r="F248" s="127"/>
      <c r="G248" s="127"/>
      <c r="H248" s="127"/>
      <c r="I248" s="127"/>
      <c r="J248" s="127"/>
      <c r="AZ248" s="108"/>
    </row>
    <row r="249" spans="1:52" s="107" customFormat="1" x14ac:dyDescent="0.3">
      <c r="A249" s="108"/>
      <c r="E249" s="127"/>
      <c r="F249" s="127"/>
      <c r="G249" s="127"/>
      <c r="H249" s="127"/>
      <c r="I249" s="127"/>
      <c r="J249" s="127"/>
      <c r="AZ249" s="108"/>
    </row>
    <row r="250" spans="1:52" s="107" customFormat="1" x14ac:dyDescent="0.3">
      <c r="A250" s="108"/>
      <c r="E250" s="127"/>
      <c r="F250" s="127"/>
      <c r="G250" s="127"/>
      <c r="H250" s="127"/>
      <c r="I250" s="127"/>
      <c r="J250" s="127"/>
      <c r="AZ250" s="108"/>
    </row>
    <row r="251" spans="1:52" s="107" customFormat="1" x14ac:dyDescent="0.3">
      <c r="A251" s="108"/>
      <c r="E251" s="127"/>
      <c r="F251" s="127"/>
      <c r="G251" s="127"/>
      <c r="H251" s="127"/>
      <c r="I251" s="127"/>
      <c r="J251" s="127"/>
      <c r="AZ251" s="108"/>
    </row>
    <row r="252" spans="1:52" s="107" customFormat="1" x14ac:dyDescent="0.3">
      <c r="A252" s="108"/>
      <c r="E252" s="127"/>
      <c r="F252" s="127"/>
      <c r="G252" s="127"/>
      <c r="H252" s="127"/>
      <c r="I252" s="127"/>
      <c r="J252" s="127"/>
      <c r="AZ252" s="108"/>
    </row>
    <row r="253" spans="1:52" s="107" customFormat="1" x14ac:dyDescent="0.3">
      <c r="A253" s="108"/>
      <c r="E253" s="127"/>
      <c r="F253" s="127"/>
      <c r="G253" s="127"/>
      <c r="H253" s="127"/>
      <c r="I253" s="127"/>
      <c r="J253" s="127"/>
      <c r="AZ253" s="108"/>
    </row>
    <row r="254" spans="1:52" s="107" customFormat="1" x14ac:dyDescent="0.3">
      <c r="A254" s="108"/>
      <c r="E254" s="127"/>
      <c r="F254" s="127"/>
      <c r="G254" s="127"/>
      <c r="H254" s="127"/>
      <c r="I254" s="127"/>
      <c r="J254" s="127"/>
      <c r="AZ254" s="108"/>
    </row>
    <row r="255" spans="1:52" s="107" customFormat="1" x14ac:dyDescent="0.3">
      <c r="A255" s="108"/>
      <c r="E255" s="127"/>
      <c r="F255" s="127"/>
      <c r="G255" s="127"/>
      <c r="H255" s="127"/>
      <c r="I255" s="127"/>
      <c r="J255" s="127"/>
      <c r="AZ255" s="108"/>
    </row>
    <row r="256" spans="1:52" s="107" customFormat="1" x14ac:dyDescent="0.3">
      <c r="A256" s="108"/>
      <c r="E256" s="127"/>
      <c r="F256" s="127"/>
      <c r="G256" s="127"/>
      <c r="H256" s="127"/>
      <c r="I256" s="127"/>
      <c r="J256" s="127"/>
      <c r="AZ256" s="108"/>
    </row>
    <row r="257" spans="1:52" s="107" customFormat="1" x14ac:dyDescent="0.3">
      <c r="A257" s="108"/>
      <c r="E257" s="127"/>
      <c r="F257" s="127"/>
      <c r="G257" s="127"/>
      <c r="H257" s="127"/>
      <c r="I257" s="127"/>
      <c r="J257" s="127"/>
      <c r="AZ257" s="108"/>
    </row>
    <row r="258" spans="1:52" s="107" customFormat="1" x14ac:dyDescent="0.3">
      <c r="A258" s="108"/>
      <c r="E258" s="127"/>
      <c r="F258" s="127"/>
      <c r="G258" s="127"/>
      <c r="H258" s="127"/>
      <c r="I258" s="127"/>
      <c r="J258" s="127"/>
      <c r="AZ258" s="108"/>
    </row>
    <row r="259" spans="1:52" s="107" customFormat="1" x14ac:dyDescent="0.3">
      <c r="A259" s="108"/>
      <c r="E259" s="127"/>
      <c r="F259" s="127"/>
      <c r="G259" s="127"/>
      <c r="H259" s="127"/>
      <c r="I259" s="127"/>
      <c r="J259" s="127"/>
      <c r="AZ259" s="108"/>
    </row>
    <row r="260" spans="1:52" s="107" customFormat="1" x14ac:dyDescent="0.3">
      <c r="A260" s="108"/>
      <c r="E260" s="127"/>
      <c r="F260" s="127"/>
      <c r="G260" s="127"/>
      <c r="H260" s="127"/>
      <c r="I260" s="127"/>
      <c r="J260" s="127"/>
      <c r="AZ260" s="108"/>
    </row>
    <row r="261" spans="1:52" s="107" customFormat="1" x14ac:dyDescent="0.3">
      <c r="A261" s="108"/>
      <c r="E261" s="127"/>
      <c r="F261" s="127"/>
      <c r="G261" s="127"/>
      <c r="H261" s="127"/>
      <c r="I261" s="127"/>
      <c r="J261" s="127"/>
      <c r="AZ261" s="108"/>
    </row>
    <row r="262" spans="1:52" s="107" customFormat="1" x14ac:dyDescent="0.3">
      <c r="A262" s="108"/>
      <c r="E262" s="127"/>
      <c r="F262" s="127"/>
      <c r="G262" s="127"/>
      <c r="H262" s="127"/>
      <c r="I262" s="127"/>
      <c r="J262" s="127"/>
      <c r="AZ262" s="108"/>
    </row>
    <row r="263" spans="1:52" s="107" customFormat="1" x14ac:dyDescent="0.3">
      <c r="A263" s="108"/>
      <c r="E263" s="127"/>
      <c r="F263" s="127"/>
      <c r="G263" s="127"/>
      <c r="H263" s="127"/>
      <c r="I263" s="127"/>
      <c r="J263" s="127"/>
      <c r="AZ263" s="108"/>
    </row>
    <row r="264" spans="1:52" s="107" customFormat="1" x14ac:dyDescent="0.3">
      <c r="A264" s="108"/>
      <c r="E264" s="127"/>
      <c r="F264" s="127"/>
      <c r="G264" s="127"/>
      <c r="H264" s="127"/>
      <c r="I264" s="127"/>
      <c r="J264" s="127"/>
      <c r="AZ264" s="108"/>
    </row>
    <row r="265" spans="1:52" s="107" customFormat="1" x14ac:dyDescent="0.3">
      <c r="A265" s="108"/>
      <c r="E265" s="127"/>
      <c r="F265" s="127"/>
      <c r="G265" s="127"/>
      <c r="H265" s="127"/>
      <c r="I265" s="127"/>
      <c r="J265" s="127"/>
      <c r="AZ265" s="108"/>
    </row>
    <row r="266" spans="1:52" s="107" customFormat="1" x14ac:dyDescent="0.3">
      <c r="A266" s="108"/>
      <c r="E266" s="127"/>
      <c r="F266" s="127"/>
      <c r="G266" s="127"/>
      <c r="H266" s="127"/>
      <c r="I266" s="127"/>
      <c r="J266" s="127"/>
      <c r="AZ266" s="108"/>
    </row>
    <row r="267" spans="1:52" s="107" customFormat="1" x14ac:dyDescent="0.3">
      <c r="A267" s="108"/>
      <c r="E267" s="127"/>
      <c r="F267" s="127"/>
      <c r="G267" s="127"/>
      <c r="H267" s="127"/>
      <c r="I267" s="127"/>
      <c r="J267" s="127"/>
      <c r="AZ267" s="108"/>
    </row>
    <row r="268" spans="1:52" s="107" customFormat="1" x14ac:dyDescent="0.3">
      <c r="A268" s="108"/>
      <c r="E268" s="127"/>
      <c r="F268" s="127"/>
      <c r="G268" s="127"/>
      <c r="H268" s="127"/>
      <c r="I268" s="127"/>
      <c r="J268" s="127"/>
      <c r="AZ268" s="108"/>
    </row>
    <row r="269" spans="1:52" s="107" customFormat="1" x14ac:dyDescent="0.3">
      <c r="A269" s="108"/>
      <c r="E269" s="127"/>
      <c r="F269" s="127"/>
      <c r="G269" s="127"/>
      <c r="H269" s="127"/>
      <c r="I269" s="127"/>
      <c r="J269" s="127"/>
      <c r="AZ269" s="108"/>
    </row>
    <row r="270" spans="1:52" s="107" customFormat="1" x14ac:dyDescent="0.3">
      <c r="A270" s="108"/>
      <c r="E270" s="127"/>
      <c r="F270" s="127"/>
      <c r="G270" s="127"/>
      <c r="H270" s="127"/>
      <c r="I270" s="127"/>
      <c r="J270" s="127"/>
      <c r="AZ270" s="108"/>
    </row>
    <row r="271" spans="1:52" s="107" customFormat="1" x14ac:dyDescent="0.3">
      <c r="A271" s="108"/>
      <c r="E271" s="127"/>
      <c r="F271" s="127"/>
      <c r="G271" s="127"/>
      <c r="H271" s="127"/>
      <c r="I271" s="127"/>
      <c r="J271" s="127"/>
      <c r="AZ271" s="108"/>
    </row>
    <row r="272" spans="1:52" s="107" customFormat="1" x14ac:dyDescent="0.3">
      <c r="A272" s="108"/>
      <c r="E272" s="127"/>
      <c r="F272" s="127"/>
      <c r="G272" s="127"/>
      <c r="H272" s="127"/>
      <c r="I272" s="127"/>
      <c r="J272" s="127"/>
      <c r="AZ272" s="108"/>
    </row>
    <row r="273" spans="1:52" s="107" customFormat="1" x14ac:dyDescent="0.3">
      <c r="A273" s="108"/>
      <c r="E273" s="127"/>
      <c r="F273" s="127"/>
      <c r="G273" s="127"/>
      <c r="H273" s="127"/>
      <c r="I273" s="127"/>
      <c r="J273" s="127"/>
      <c r="AZ273" s="108"/>
    </row>
    <row r="274" spans="1:52" s="107" customFormat="1" x14ac:dyDescent="0.3">
      <c r="A274" s="108"/>
      <c r="E274" s="127"/>
      <c r="F274" s="127"/>
      <c r="G274" s="127"/>
      <c r="H274" s="127"/>
      <c r="I274" s="127"/>
      <c r="J274" s="127"/>
      <c r="AZ274" s="108"/>
    </row>
    <row r="275" spans="1:52" s="107" customFormat="1" x14ac:dyDescent="0.3">
      <c r="A275" s="108"/>
      <c r="E275" s="127"/>
      <c r="F275" s="127"/>
      <c r="G275" s="127"/>
      <c r="H275" s="127"/>
      <c r="I275" s="127"/>
      <c r="J275" s="127"/>
      <c r="AZ275" s="108"/>
    </row>
    <row r="276" spans="1:52" s="107" customFormat="1" x14ac:dyDescent="0.3">
      <c r="A276" s="108"/>
      <c r="E276" s="127"/>
      <c r="F276" s="127"/>
      <c r="G276" s="127"/>
      <c r="H276" s="127"/>
      <c r="I276" s="127"/>
      <c r="J276" s="127"/>
      <c r="AZ276" s="108"/>
    </row>
    <row r="277" spans="1:52" s="107" customFormat="1" x14ac:dyDescent="0.3">
      <c r="A277" s="108"/>
      <c r="E277" s="127"/>
      <c r="F277" s="127"/>
      <c r="G277" s="127"/>
      <c r="H277" s="127"/>
      <c r="I277" s="127"/>
      <c r="J277" s="127"/>
      <c r="AZ277" s="108"/>
    </row>
    <row r="278" spans="1:52" s="107" customFormat="1" x14ac:dyDescent="0.3">
      <c r="A278" s="108"/>
      <c r="E278" s="127"/>
      <c r="F278" s="127"/>
      <c r="G278" s="127"/>
      <c r="H278" s="127"/>
      <c r="I278" s="127"/>
      <c r="J278" s="127"/>
      <c r="AZ278" s="108"/>
    </row>
    <row r="279" spans="1:52" s="107" customFormat="1" x14ac:dyDescent="0.3">
      <c r="A279" s="108"/>
      <c r="E279" s="127"/>
      <c r="F279" s="127"/>
      <c r="G279" s="127"/>
      <c r="H279" s="127"/>
      <c r="I279" s="127"/>
      <c r="J279" s="127"/>
      <c r="AZ279" s="108"/>
    </row>
    <row r="280" spans="1:52" s="107" customFormat="1" x14ac:dyDescent="0.3">
      <c r="A280" s="108"/>
      <c r="E280" s="127"/>
      <c r="F280" s="127"/>
      <c r="G280" s="127"/>
      <c r="H280" s="127"/>
      <c r="I280" s="127"/>
      <c r="J280" s="127"/>
      <c r="AZ280" s="108"/>
    </row>
    <row r="281" spans="1:52" s="107" customFormat="1" x14ac:dyDescent="0.3">
      <c r="A281" s="108"/>
      <c r="E281" s="127"/>
      <c r="F281" s="127"/>
      <c r="G281" s="127"/>
      <c r="H281" s="127"/>
      <c r="I281" s="127"/>
      <c r="J281" s="127"/>
      <c r="AZ281" s="108"/>
    </row>
    <row r="282" spans="1:52" s="107" customFormat="1" x14ac:dyDescent="0.3">
      <c r="A282" s="108"/>
      <c r="E282" s="127"/>
      <c r="F282" s="127"/>
      <c r="G282" s="127"/>
      <c r="H282" s="127"/>
      <c r="I282" s="127"/>
      <c r="J282" s="127"/>
      <c r="AZ282" s="108"/>
    </row>
    <row r="283" spans="1:52" s="107" customFormat="1" x14ac:dyDescent="0.3">
      <c r="A283" s="108"/>
      <c r="E283" s="127"/>
      <c r="F283" s="127"/>
      <c r="G283" s="127"/>
      <c r="H283" s="127"/>
      <c r="I283" s="127"/>
      <c r="J283" s="127"/>
      <c r="AZ283" s="108"/>
    </row>
    <row r="284" spans="1:52" s="107" customFormat="1" x14ac:dyDescent="0.3">
      <c r="A284" s="108"/>
      <c r="E284" s="127"/>
      <c r="F284" s="127"/>
      <c r="G284" s="127"/>
      <c r="H284" s="127"/>
      <c r="I284" s="127"/>
      <c r="J284" s="127"/>
      <c r="AZ284" s="108"/>
    </row>
    <row r="285" spans="1:52" s="107" customFormat="1" x14ac:dyDescent="0.3">
      <c r="A285" s="108"/>
      <c r="E285" s="127"/>
      <c r="F285" s="127"/>
      <c r="G285" s="127"/>
      <c r="H285" s="127"/>
      <c r="I285" s="127"/>
      <c r="J285" s="127"/>
      <c r="AZ285" s="108"/>
    </row>
    <row r="286" spans="1:52" s="107" customFormat="1" x14ac:dyDescent="0.3">
      <c r="A286" s="108"/>
      <c r="E286" s="127"/>
      <c r="F286" s="127"/>
      <c r="G286" s="127"/>
      <c r="H286" s="127"/>
      <c r="I286" s="127"/>
      <c r="J286" s="127"/>
      <c r="AZ286" s="108"/>
    </row>
    <row r="287" spans="1:52" s="107" customFormat="1" x14ac:dyDescent="0.3">
      <c r="A287" s="108"/>
      <c r="E287" s="127"/>
      <c r="F287" s="127"/>
      <c r="G287" s="127"/>
      <c r="H287" s="127"/>
      <c r="I287" s="127"/>
      <c r="J287" s="127"/>
      <c r="AZ287" s="108"/>
    </row>
    <row r="288" spans="1:52" s="107" customFormat="1" x14ac:dyDescent="0.3">
      <c r="A288" s="108"/>
      <c r="E288" s="127"/>
      <c r="F288" s="127"/>
      <c r="G288" s="127"/>
      <c r="H288" s="127"/>
      <c r="I288" s="127"/>
      <c r="J288" s="127"/>
      <c r="AZ288" s="108"/>
    </row>
    <row r="289" spans="1:52" s="107" customFormat="1" x14ac:dyDescent="0.3">
      <c r="A289" s="108"/>
      <c r="E289" s="127"/>
      <c r="F289" s="127"/>
      <c r="G289" s="127"/>
      <c r="H289" s="127"/>
      <c r="I289" s="127"/>
      <c r="J289" s="127"/>
      <c r="AZ289" s="108"/>
    </row>
    <row r="290" spans="1:52" s="107" customFormat="1" x14ac:dyDescent="0.3">
      <c r="A290" s="108"/>
      <c r="E290" s="127"/>
      <c r="F290" s="127"/>
      <c r="G290" s="127"/>
      <c r="H290" s="127"/>
      <c r="I290" s="127"/>
      <c r="J290" s="127"/>
      <c r="AZ290" s="108"/>
    </row>
    <row r="291" spans="1:52" s="107" customFormat="1" x14ac:dyDescent="0.3">
      <c r="A291" s="108"/>
      <c r="E291" s="127"/>
      <c r="F291" s="127"/>
      <c r="G291" s="127"/>
      <c r="H291" s="127"/>
      <c r="I291" s="127"/>
      <c r="J291" s="127"/>
      <c r="AZ291" s="108"/>
    </row>
    <row r="292" spans="1:52" s="107" customFormat="1" x14ac:dyDescent="0.3">
      <c r="A292" s="108"/>
      <c r="E292" s="127"/>
      <c r="F292" s="127"/>
      <c r="G292" s="127"/>
      <c r="H292" s="127"/>
      <c r="I292" s="127"/>
      <c r="J292" s="127"/>
      <c r="AZ292" s="108"/>
    </row>
    <row r="293" spans="1:52" s="107" customFormat="1" x14ac:dyDescent="0.3">
      <c r="A293" s="108"/>
      <c r="E293" s="127"/>
      <c r="F293" s="127"/>
      <c r="G293" s="127"/>
      <c r="H293" s="127"/>
      <c r="I293" s="127"/>
      <c r="J293" s="127"/>
      <c r="AZ293" s="108"/>
    </row>
    <row r="294" spans="1:52" s="107" customFormat="1" x14ac:dyDescent="0.3">
      <c r="A294" s="108"/>
      <c r="E294" s="127"/>
      <c r="F294" s="127"/>
      <c r="G294" s="127"/>
      <c r="H294" s="127"/>
      <c r="I294" s="127"/>
      <c r="J294" s="127"/>
      <c r="AZ294" s="108"/>
    </row>
    <row r="295" spans="1:52" s="107" customFormat="1" x14ac:dyDescent="0.3">
      <c r="A295" s="108"/>
      <c r="E295" s="127"/>
      <c r="F295" s="127"/>
      <c r="G295" s="127"/>
      <c r="H295" s="127"/>
      <c r="I295" s="127"/>
      <c r="J295" s="127"/>
      <c r="AZ295" s="108"/>
    </row>
    <row r="296" spans="1:52" s="107" customFormat="1" x14ac:dyDescent="0.3">
      <c r="A296" s="108"/>
      <c r="E296" s="127"/>
      <c r="F296" s="127"/>
      <c r="G296" s="127"/>
      <c r="H296" s="127"/>
      <c r="I296" s="127"/>
      <c r="J296" s="127"/>
      <c r="AZ296" s="108"/>
    </row>
    <row r="297" spans="1:52" s="107" customFormat="1" x14ac:dyDescent="0.3">
      <c r="A297" s="108"/>
      <c r="E297" s="127"/>
      <c r="F297" s="127"/>
      <c r="G297" s="127"/>
      <c r="H297" s="127"/>
      <c r="I297" s="127"/>
      <c r="J297" s="127"/>
      <c r="AZ297" s="108"/>
    </row>
    <row r="298" spans="1:52" s="107" customFormat="1" x14ac:dyDescent="0.3">
      <c r="A298" s="108"/>
      <c r="E298" s="127"/>
      <c r="F298" s="127"/>
      <c r="G298" s="127"/>
      <c r="H298" s="127"/>
      <c r="I298" s="127"/>
      <c r="J298" s="127"/>
      <c r="AZ298" s="108"/>
    </row>
    <row r="299" spans="1:52" s="107" customFormat="1" x14ac:dyDescent="0.3">
      <c r="A299" s="108"/>
      <c r="E299" s="127"/>
      <c r="F299" s="127"/>
      <c r="G299" s="127"/>
      <c r="H299" s="127"/>
      <c r="I299" s="127"/>
      <c r="J299" s="127"/>
      <c r="AZ299" s="108"/>
    </row>
    <row r="300" spans="1:52" s="107" customFormat="1" x14ac:dyDescent="0.3">
      <c r="A300" s="108"/>
      <c r="E300" s="127"/>
      <c r="F300" s="127"/>
      <c r="G300" s="127"/>
      <c r="H300" s="127"/>
      <c r="I300" s="127"/>
      <c r="J300" s="127"/>
      <c r="AZ300" s="108"/>
    </row>
    <row r="301" spans="1:52" s="107" customFormat="1" x14ac:dyDescent="0.3">
      <c r="A301" s="108"/>
      <c r="E301" s="127"/>
      <c r="F301" s="127"/>
      <c r="G301" s="127"/>
      <c r="H301" s="127"/>
      <c r="I301" s="127"/>
      <c r="J301" s="127"/>
      <c r="AZ301" s="108"/>
    </row>
    <row r="302" spans="1:52" s="107" customFormat="1" x14ac:dyDescent="0.3">
      <c r="A302" s="108"/>
      <c r="E302" s="127"/>
      <c r="F302" s="127"/>
      <c r="G302" s="127"/>
      <c r="H302" s="127"/>
      <c r="I302" s="127"/>
      <c r="J302" s="127"/>
      <c r="AZ302" s="108"/>
    </row>
    <row r="303" spans="1:52" s="107" customFormat="1" x14ac:dyDescent="0.3">
      <c r="A303" s="108"/>
      <c r="E303" s="127"/>
      <c r="F303" s="127"/>
      <c r="G303" s="127"/>
      <c r="H303" s="127"/>
      <c r="I303" s="127"/>
      <c r="J303" s="127"/>
      <c r="AZ303" s="108"/>
    </row>
    <row r="304" spans="1:52" s="107" customFormat="1" x14ac:dyDescent="0.3">
      <c r="A304" s="108"/>
      <c r="E304" s="127"/>
      <c r="F304" s="127"/>
      <c r="G304" s="127"/>
      <c r="H304" s="127"/>
      <c r="I304" s="127"/>
      <c r="J304" s="127"/>
      <c r="AZ304" s="108"/>
    </row>
    <row r="305" spans="1:52" s="107" customFormat="1" x14ac:dyDescent="0.3">
      <c r="A305" s="108"/>
      <c r="E305" s="127"/>
      <c r="F305" s="127"/>
      <c r="G305" s="127"/>
      <c r="H305" s="127"/>
      <c r="I305" s="127"/>
      <c r="J305" s="127"/>
      <c r="AZ305" s="108"/>
    </row>
    <row r="306" spans="1:52" s="107" customFormat="1" x14ac:dyDescent="0.3">
      <c r="A306" s="108"/>
      <c r="E306" s="127"/>
      <c r="F306" s="127"/>
      <c r="G306" s="127"/>
      <c r="H306" s="127"/>
      <c r="I306" s="127"/>
      <c r="J306" s="127"/>
      <c r="AZ306" s="108"/>
    </row>
    <row r="307" spans="1:52" s="107" customFormat="1" x14ac:dyDescent="0.3">
      <c r="A307" s="108"/>
      <c r="E307" s="127"/>
      <c r="F307" s="127"/>
      <c r="G307" s="127"/>
      <c r="H307" s="127"/>
      <c r="I307" s="127"/>
      <c r="J307" s="127"/>
      <c r="AZ307" s="108"/>
    </row>
    <row r="308" spans="1:52" s="107" customFormat="1" x14ac:dyDescent="0.3">
      <c r="A308" s="108"/>
      <c r="E308" s="127"/>
      <c r="F308" s="127"/>
      <c r="G308" s="127"/>
      <c r="H308" s="127"/>
      <c r="I308" s="127"/>
      <c r="J308" s="127"/>
      <c r="AZ308" s="108"/>
    </row>
    <row r="309" spans="1:52" s="107" customFormat="1" x14ac:dyDescent="0.3">
      <c r="A309" s="108"/>
      <c r="E309" s="127"/>
      <c r="F309" s="127"/>
      <c r="G309" s="127"/>
      <c r="H309" s="127"/>
      <c r="I309" s="127"/>
      <c r="J309" s="127"/>
      <c r="AZ309" s="108"/>
    </row>
    <row r="310" spans="1:52" s="107" customFormat="1" x14ac:dyDescent="0.3">
      <c r="A310" s="108"/>
      <c r="E310" s="127"/>
      <c r="F310" s="127"/>
      <c r="G310" s="127"/>
      <c r="H310" s="127"/>
      <c r="I310" s="127"/>
      <c r="J310" s="127"/>
      <c r="AZ310" s="108"/>
    </row>
    <row r="311" spans="1:52" s="107" customFormat="1" x14ac:dyDescent="0.3">
      <c r="A311" s="108"/>
      <c r="E311" s="127"/>
      <c r="F311" s="127"/>
      <c r="G311" s="127"/>
      <c r="H311" s="127"/>
      <c r="I311" s="127"/>
      <c r="J311" s="127"/>
      <c r="AZ311" s="108"/>
    </row>
    <row r="312" spans="1:52" s="107" customFormat="1" x14ac:dyDescent="0.3">
      <c r="A312" s="108"/>
      <c r="E312" s="127"/>
      <c r="F312" s="127"/>
      <c r="G312" s="127"/>
      <c r="H312" s="127"/>
      <c r="I312" s="127"/>
      <c r="J312" s="127"/>
      <c r="AZ312" s="108"/>
    </row>
    <row r="313" spans="1:52" s="107" customFormat="1" x14ac:dyDescent="0.3">
      <c r="A313" s="108"/>
      <c r="E313" s="127"/>
      <c r="F313" s="127"/>
      <c r="G313" s="127"/>
      <c r="H313" s="127"/>
      <c r="I313" s="127"/>
      <c r="J313" s="127"/>
      <c r="AZ313" s="108"/>
    </row>
    <row r="314" spans="1:52" s="107" customFormat="1" x14ac:dyDescent="0.3">
      <c r="A314" s="108"/>
      <c r="E314" s="127"/>
      <c r="F314" s="127"/>
      <c r="G314" s="127"/>
      <c r="H314" s="127"/>
      <c r="I314" s="127"/>
      <c r="J314" s="127"/>
      <c r="AZ314" s="108"/>
    </row>
    <row r="315" spans="1:52" s="107" customFormat="1" x14ac:dyDescent="0.3">
      <c r="A315" s="108"/>
      <c r="E315" s="127"/>
      <c r="F315" s="127"/>
      <c r="G315" s="127"/>
      <c r="H315" s="127"/>
      <c r="I315" s="127"/>
      <c r="J315" s="127"/>
      <c r="AZ315" s="108"/>
    </row>
    <row r="316" spans="1:52" s="107" customFormat="1" x14ac:dyDescent="0.3">
      <c r="A316" s="108"/>
      <c r="E316" s="127"/>
      <c r="F316" s="127"/>
      <c r="G316" s="127"/>
      <c r="H316" s="127"/>
      <c r="I316" s="127"/>
      <c r="J316" s="127"/>
      <c r="AZ316" s="108"/>
    </row>
    <row r="317" spans="1:52" s="107" customFormat="1" x14ac:dyDescent="0.3">
      <c r="A317" s="108"/>
      <c r="E317" s="127"/>
      <c r="F317" s="127"/>
      <c r="G317" s="127"/>
      <c r="H317" s="127"/>
      <c r="I317" s="127"/>
      <c r="J317" s="127"/>
      <c r="AZ317" s="108"/>
    </row>
    <row r="318" spans="1:52" s="107" customFormat="1" x14ac:dyDescent="0.3">
      <c r="A318" s="108"/>
      <c r="E318" s="127"/>
      <c r="F318" s="127"/>
      <c r="G318" s="127"/>
      <c r="H318" s="127"/>
      <c r="I318" s="127"/>
      <c r="J318" s="127"/>
      <c r="AZ318" s="108"/>
    </row>
    <row r="319" spans="1:52" s="107" customFormat="1" x14ac:dyDescent="0.3">
      <c r="A319" s="108"/>
      <c r="E319" s="127"/>
      <c r="F319" s="127"/>
      <c r="G319" s="127"/>
      <c r="H319" s="127"/>
      <c r="I319" s="127"/>
      <c r="J319" s="127"/>
      <c r="AZ319" s="108"/>
    </row>
    <row r="320" spans="1:52" s="107" customFormat="1" x14ac:dyDescent="0.3">
      <c r="A320" s="108"/>
      <c r="E320" s="127"/>
      <c r="F320" s="127"/>
      <c r="G320" s="127"/>
      <c r="H320" s="127"/>
      <c r="I320" s="127"/>
      <c r="J320" s="127"/>
      <c r="AZ320" s="108"/>
    </row>
    <row r="321" spans="1:52" s="107" customFormat="1" x14ac:dyDescent="0.3">
      <c r="A321" s="108"/>
      <c r="E321" s="127"/>
      <c r="F321" s="127"/>
      <c r="G321" s="127"/>
      <c r="H321" s="127"/>
      <c r="I321" s="127"/>
      <c r="J321" s="127"/>
      <c r="AZ321" s="108"/>
    </row>
    <row r="322" spans="1:52" s="107" customFormat="1" x14ac:dyDescent="0.3">
      <c r="A322" s="108"/>
      <c r="E322" s="127"/>
      <c r="F322" s="127"/>
      <c r="G322" s="127"/>
      <c r="H322" s="127"/>
      <c r="I322" s="127"/>
      <c r="J322" s="127"/>
      <c r="AZ322" s="108"/>
    </row>
    <row r="323" spans="1:52" s="107" customFormat="1" x14ac:dyDescent="0.3">
      <c r="A323" s="108"/>
      <c r="E323" s="127"/>
      <c r="F323" s="127"/>
      <c r="G323" s="127"/>
      <c r="H323" s="127"/>
      <c r="I323" s="127"/>
      <c r="J323" s="127"/>
      <c r="AZ323" s="108"/>
    </row>
    <row r="324" spans="1:52" s="107" customFormat="1" x14ac:dyDescent="0.3">
      <c r="A324" s="108"/>
      <c r="E324" s="127"/>
      <c r="F324" s="127"/>
      <c r="G324" s="127"/>
      <c r="H324" s="127"/>
      <c r="I324" s="127"/>
      <c r="J324" s="127"/>
      <c r="AZ324" s="108"/>
    </row>
    <row r="325" spans="1:52" s="107" customFormat="1" x14ac:dyDescent="0.3">
      <c r="A325" s="108"/>
      <c r="E325" s="127"/>
      <c r="F325" s="127"/>
      <c r="G325" s="127"/>
      <c r="H325" s="127"/>
      <c r="I325" s="127"/>
      <c r="J325" s="127"/>
      <c r="AZ325" s="108"/>
    </row>
    <row r="326" spans="1:52" s="107" customFormat="1" x14ac:dyDescent="0.3">
      <c r="A326" s="108"/>
      <c r="E326" s="127"/>
      <c r="F326" s="127"/>
      <c r="G326" s="127"/>
      <c r="H326" s="127"/>
      <c r="I326" s="127"/>
      <c r="J326" s="127"/>
      <c r="AZ326" s="108"/>
    </row>
    <row r="327" spans="1:52" s="107" customFormat="1" x14ac:dyDescent="0.3">
      <c r="A327" s="108"/>
      <c r="E327" s="127"/>
      <c r="F327" s="127"/>
      <c r="G327" s="127"/>
      <c r="H327" s="127"/>
      <c r="I327" s="127"/>
      <c r="J327" s="127"/>
      <c r="AZ327" s="108"/>
    </row>
    <row r="328" spans="1:52" s="107" customFormat="1" x14ac:dyDescent="0.3">
      <c r="A328" s="108"/>
      <c r="E328" s="127"/>
      <c r="F328" s="127"/>
      <c r="G328" s="127"/>
      <c r="H328" s="127"/>
      <c r="I328" s="127"/>
      <c r="J328" s="127"/>
      <c r="AZ328" s="108"/>
    </row>
    <row r="329" spans="1:52" s="107" customFormat="1" x14ac:dyDescent="0.3">
      <c r="A329" s="108"/>
      <c r="E329" s="127"/>
      <c r="F329" s="127"/>
      <c r="G329" s="127"/>
      <c r="H329" s="127"/>
      <c r="I329" s="127"/>
      <c r="J329" s="127"/>
      <c r="AZ329" s="108"/>
    </row>
    <row r="330" spans="1:52" s="107" customFormat="1" x14ac:dyDescent="0.3">
      <c r="A330" s="108"/>
      <c r="E330" s="127"/>
      <c r="F330" s="127"/>
      <c r="G330" s="127"/>
      <c r="H330" s="127"/>
      <c r="I330" s="127"/>
      <c r="J330" s="127"/>
      <c r="AZ330" s="108"/>
    </row>
    <row r="331" spans="1:52" s="107" customFormat="1" x14ac:dyDescent="0.3">
      <c r="A331" s="108"/>
      <c r="E331" s="127"/>
      <c r="F331" s="127"/>
      <c r="G331" s="127"/>
      <c r="H331" s="127"/>
      <c r="I331" s="127"/>
      <c r="J331" s="127"/>
      <c r="AZ331" s="108"/>
    </row>
    <row r="332" spans="1:52" s="107" customFormat="1" x14ac:dyDescent="0.3">
      <c r="A332" s="108"/>
      <c r="E332" s="127"/>
      <c r="F332" s="127"/>
      <c r="G332" s="127"/>
      <c r="H332" s="127"/>
      <c r="I332" s="127"/>
      <c r="J332" s="127"/>
      <c r="AZ332" s="108"/>
    </row>
    <row r="333" spans="1:52" s="107" customFormat="1" x14ac:dyDescent="0.3">
      <c r="A333" s="108"/>
      <c r="E333" s="127"/>
      <c r="F333" s="127"/>
      <c r="G333" s="127"/>
      <c r="H333" s="127"/>
      <c r="I333" s="127"/>
      <c r="J333" s="127"/>
      <c r="AZ333" s="108"/>
    </row>
    <row r="334" spans="1:52" s="107" customFormat="1" x14ac:dyDescent="0.3">
      <c r="A334" s="108"/>
      <c r="E334" s="127"/>
      <c r="F334" s="127"/>
      <c r="G334" s="127"/>
      <c r="H334" s="127"/>
      <c r="I334" s="127"/>
      <c r="J334" s="127"/>
      <c r="AZ334" s="108"/>
    </row>
    <row r="335" spans="1:52" s="107" customFormat="1" x14ac:dyDescent="0.3">
      <c r="A335" s="108"/>
      <c r="E335" s="127"/>
      <c r="F335" s="127"/>
      <c r="G335" s="127"/>
      <c r="H335" s="127"/>
      <c r="I335" s="127"/>
      <c r="J335" s="127"/>
      <c r="AZ335" s="108"/>
    </row>
    <row r="336" spans="1:52" s="107" customFormat="1" x14ac:dyDescent="0.3">
      <c r="A336" s="108"/>
      <c r="E336" s="127"/>
      <c r="F336" s="127"/>
      <c r="G336" s="127"/>
      <c r="H336" s="127"/>
      <c r="I336" s="127"/>
      <c r="J336" s="127"/>
      <c r="AZ336" s="108"/>
    </row>
    <row r="337" spans="1:52" s="107" customFormat="1" x14ac:dyDescent="0.3">
      <c r="A337" s="108"/>
      <c r="E337" s="127"/>
      <c r="F337" s="127"/>
      <c r="G337" s="127"/>
      <c r="H337" s="127"/>
      <c r="I337" s="127"/>
      <c r="J337" s="127"/>
      <c r="AZ337" s="108"/>
    </row>
    <row r="338" spans="1:52" s="107" customFormat="1" x14ac:dyDescent="0.3">
      <c r="A338" s="108"/>
      <c r="E338" s="127"/>
      <c r="F338" s="127"/>
      <c r="G338" s="127"/>
      <c r="H338" s="127"/>
      <c r="I338" s="127"/>
      <c r="J338" s="127"/>
      <c r="AZ338" s="108"/>
    </row>
    <row r="339" spans="1:52" s="107" customFormat="1" x14ac:dyDescent="0.3">
      <c r="A339" s="108"/>
      <c r="E339" s="127"/>
      <c r="F339" s="127"/>
      <c r="G339" s="127"/>
      <c r="H339" s="127"/>
      <c r="I339" s="127"/>
      <c r="J339" s="127"/>
      <c r="AZ339" s="108"/>
    </row>
    <row r="340" spans="1:52" s="107" customFormat="1" x14ac:dyDescent="0.3">
      <c r="A340" s="108"/>
      <c r="E340" s="127"/>
      <c r="F340" s="127"/>
      <c r="G340" s="127"/>
      <c r="H340" s="127"/>
      <c r="I340" s="127"/>
      <c r="J340" s="127"/>
      <c r="AZ340" s="108"/>
    </row>
    <row r="341" spans="1:52" s="107" customFormat="1" x14ac:dyDescent="0.3">
      <c r="A341" s="108"/>
      <c r="E341" s="127"/>
      <c r="F341" s="127"/>
      <c r="G341" s="127"/>
      <c r="H341" s="127"/>
      <c r="I341" s="127"/>
      <c r="J341" s="127"/>
      <c r="AZ341" s="108"/>
    </row>
    <row r="342" spans="1:52" s="107" customFormat="1" x14ac:dyDescent="0.3">
      <c r="A342" s="108"/>
      <c r="E342" s="127"/>
      <c r="F342" s="127"/>
      <c r="G342" s="127"/>
      <c r="H342" s="127"/>
      <c r="I342" s="127"/>
      <c r="J342" s="127"/>
      <c r="AZ342" s="108"/>
    </row>
    <row r="343" spans="1:52" s="107" customFormat="1" x14ac:dyDescent="0.3">
      <c r="A343" s="108"/>
      <c r="E343" s="127"/>
      <c r="F343" s="127"/>
      <c r="G343" s="127"/>
      <c r="H343" s="127"/>
      <c r="I343" s="127"/>
      <c r="J343" s="127"/>
      <c r="AZ343" s="108"/>
    </row>
    <row r="344" spans="1:52" s="107" customFormat="1" x14ac:dyDescent="0.3">
      <c r="A344" s="108"/>
      <c r="E344" s="127"/>
      <c r="F344" s="127"/>
      <c r="G344" s="127"/>
      <c r="H344" s="127"/>
      <c r="I344" s="127"/>
      <c r="J344" s="127"/>
      <c r="AZ344" s="108"/>
    </row>
    <row r="345" spans="1:52" s="107" customFormat="1" x14ac:dyDescent="0.3">
      <c r="A345" s="108"/>
      <c r="E345" s="127"/>
      <c r="F345" s="127"/>
      <c r="G345" s="127"/>
      <c r="H345" s="127"/>
      <c r="I345" s="127"/>
      <c r="J345" s="127"/>
      <c r="AZ345" s="108"/>
    </row>
    <row r="346" spans="1:52" s="107" customFormat="1" x14ac:dyDescent="0.3">
      <c r="A346" s="108"/>
      <c r="E346" s="127"/>
      <c r="F346" s="127"/>
      <c r="G346" s="127"/>
      <c r="H346" s="127"/>
      <c r="I346" s="127"/>
      <c r="J346" s="127"/>
      <c r="AZ346" s="108"/>
    </row>
    <row r="347" spans="1:52" s="107" customFormat="1" x14ac:dyDescent="0.3">
      <c r="A347" s="108"/>
      <c r="E347" s="127"/>
      <c r="F347" s="127"/>
      <c r="G347" s="127"/>
      <c r="H347" s="127"/>
      <c r="I347" s="127"/>
      <c r="J347" s="127"/>
      <c r="AZ347" s="108"/>
    </row>
    <row r="348" spans="1:52" s="107" customFormat="1" x14ac:dyDescent="0.3">
      <c r="A348" s="108"/>
      <c r="E348" s="127"/>
      <c r="F348" s="127"/>
      <c r="G348" s="127"/>
      <c r="H348" s="127"/>
      <c r="I348" s="127"/>
      <c r="J348" s="127"/>
      <c r="AZ348" s="108"/>
    </row>
    <row r="349" spans="1:52" s="107" customFormat="1" x14ac:dyDescent="0.3">
      <c r="A349" s="108"/>
      <c r="E349" s="127"/>
      <c r="F349" s="127"/>
      <c r="G349" s="127"/>
      <c r="H349" s="127"/>
      <c r="I349" s="127"/>
      <c r="J349" s="127"/>
      <c r="AZ349" s="108"/>
    </row>
    <row r="350" spans="1:52" s="107" customFormat="1" x14ac:dyDescent="0.3">
      <c r="A350" s="108"/>
      <c r="E350" s="127"/>
      <c r="F350" s="127"/>
      <c r="G350" s="127"/>
      <c r="H350" s="127"/>
      <c r="I350" s="127"/>
      <c r="J350" s="127"/>
      <c r="AZ350" s="108"/>
    </row>
    <row r="351" spans="1:52" s="107" customFormat="1" x14ac:dyDescent="0.3">
      <c r="A351" s="108"/>
      <c r="E351" s="127"/>
      <c r="F351" s="127"/>
      <c r="G351" s="127"/>
      <c r="H351" s="127"/>
      <c r="I351" s="127"/>
      <c r="J351" s="127"/>
      <c r="AZ351" s="108"/>
    </row>
    <row r="352" spans="1:52" s="107" customFormat="1" x14ac:dyDescent="0.3">
      <c r="A352" s="108"/>
      <c r="E352" s="127"/>
      <c r="F352" s="127"/>
      <c r="G352" s="127"/>
      <c r="H352" s="127"/>
      <c r="I352" s="127"/>
      <c r="J352" s="127"/>
      <c r="AZ352" s="108"/>
    </row>
    <row r="353" spans="1:52" s="107" customFormat="1" x14ac:dyDescent="0.3">
      <c r="A353" s="108"/>
      <c r="E353" s="127"/>
      <c r="F353" s="127"/>
      <c r="G353" s="127"/>
      <c r="H353" s="127"/>
      <c r="I353" s="127"/>
      <c r="J353" s="127"/>
      <c r="AZ353" s="108"/>
    </row>
    <row r="354" spans="1:52" s="107" customFormat="1" x14ac:dyDescent="0.3">
      <c r="A354" s="108"/>
      <c r="E354" s="127"/>
      <c r="F354" s="127"/>
      <c r="G354" s="127"/>
      <c r="H354" s="127"/>
      <c r="I354" s="127"/>
      <c r="J354" s="127"/>
      <c r="AZ354" s="108"/>
    </row>
    <row r="355" spans="1:52" s="107" customFormat="1" x14ac:dyDescent="0.3">
      <c r="A355" s="108"/>
      <c r="E355" s="127"/>
      <c r="F355" s="127"/>
      <c r="G355" s="127"/>
      <c r="H355" s="127"/>
      <c r="I355" s="127"/>
      <c r="J355" s="127"/>
      <c r="AZ355" s="108"/>
    </row>
    <row r="356" spans="1:52" s="107" customFormat="1" x14ac:dyDescent="0.3">
      <c r="A356" s="108"/>
      <c r="E356" s="127"/>
      <c r="F356" s="127"/>
      <c r="G356" s="127"/>
      <c r="H356" s="127"/>
      <c r="I356" s="127"/>
      <c r="J356" s="127"/>
      <c r="AZ356" s="108"/>
    </row>
    <row r="357" spans="1:52" s="107" customFormat="1" x14ac:dyDescent="0.3">
      <c r="A357" s="108"/>
      <c r="E357" s="127"/>
      <c r="F357" s="127"/>
      <c r="G357" s="127"/>
      <c r="H357" s="127"/>
      <c r="I357" s="127"/>
      <c r="J357" s="127"/>
      <c r="AZ357" s="108"/>
    </row>
    <row r="358" spans="1:52" s="107" customFormat="1" x14ac:dyDescent="0.3">
      <c r="A358" s="108"/>
      <c r="E358" s="127"/>
      <c r="F358" s="127"/>
      <c r="G358" s="127"/>
      <c r="H358" s="127"/>
      <c r="I358" s="127"/>
      <c r="J358" s="127"/>
      <c r="AZ358" s="108"/>
    </row>
    <row r="359" spans="1:52" s="107" customFormat="1" x14ac:dyDescent="0.3">
      <c r="A359" s="108"/>
      <c r="E359" s="127"/>
      <c r="F359" s="127"/>
      <c r="G359" s="127"/>
      <c r="H359" s="127"/>
      <c r="I359" s="127"/>
      <c r="J359" s="127"/>
      <c r="AZ359" s="108"/>
    </row>
    <row r="360" spans="1:52" s="107" customFormat="1" x14ac:dyDescent="0.3">
      <c r="A360" s="108"/>
      <c r="E360" s="127"/>
      <c r="F360" s="127"/>
      <c r="G360" s="127"/>
      <c r="H360" s="127"/>
      <c r="I360" s="127"/>
      <c r="J360" s="127"/>
      <c r="AZ360" s="108"/>
    </row>
    <row r="361" spans="1:52" s="107" customFormat="1" x14ac:dyDescent="0.3">
      <c r="A361" s="108"/>
      <c r="E361" s="127"/>
      <c r="F361" s="127"/>
      <c r="G361" s="127"/>
      <c r="H361" s="127"/>
      <c r="I361" s="127"/>
      <c r="J361" s="127"/>
      <c r="AZ361" s="108"/>
    </row>
    <row r="362" spans="1:52" s="107" customFormat="1" x14ac:dyDescent="0.3">
      <c r="A362" s="108"/>
      <c r="E362" s="127"/>
      <c r="F362" s="127"/>
      <c r="G362" s="127"/>
      <c r="H362" s="127"/>
      <c r="I362" s="127"/>
      <c r="J362" s="127"/>
      <c r="AZ362" s="108"/>
    </row>
    <row r="363" spans="1:52" s="107" customFormat="1" x14ac:dyDescent="0.3">
      <c r="A363" s="108"/>
      <c r="E363" s="127"/>
      <c r="F363" s="127"/>
      <c r="G363" s="127"/>
      <c r="H363" s="127"/>
      <c r="I363" s="127"/>
      <c r="J363" s="127"/>
      <c r="AZ363" s="108"/>
    </row>
    <row r="364" spans="1:52" s="107" customFormat="1" x14ac:dyDescent="0.3">
      <c r="A364" s="108"/>
      <c r="E364" s="127"/>
      <c r="F364" s="127"/>
      <c r="G364" s="127"/>
      <c r="H364" s="127"/>
      <c r="I364" s="127"/>
      <c r="J364" s="127"/>
      <c r="AZ364" s="108"/>
    </row>
    <row r="365" spans="1:52" s="107" customFormat="1" x14ac:dyDescent="0.3">
      <c r="A365" s="108"/>
      <c r="E365" s="127"/>
      <c r="F365" s="127"/>
      <c r="G365" s="127"/>
      <c r="H365" s="127"/>
      <c r="I365" s="127"/>
      <c r="J365" s="127"/>
      <c r="AZ365" s="108"/>
    </row>
    <row r="366" spans="1:52" s="107" customFormat="1" x14ac:dyDescent="0.3">
      <c r="A366" s="108"/>
      <c r="E366" s="127"/>
      <c r="F366" s="127"/>
      <c r="G366" s="127"/>
      <c r="H366" s="127"/>
      <c r="I366" s="127"/>
      <c r="J366" s="127"/>
      <c r="AZ366" s="108"/>
    </row>
    <row r="367" spans="1:52" s="107" customFormat="1" x14ac:dyDescent="0.3">
      <c r="A367" s="108"/>
      <c r="E367" s="127"/>
      <c r="F367" s="127"/>
      <c r="G367" s="127"/>
      <c r="H367" s="127"/>
      <c r="I367" s="127"/>
      <c r="J367" s="127"/>
      <c r="AZ367" s="108"/>
    </row>
    <row r="368" spans="1:52" s="107" customFormat="1" x14ac:dyDescent="0.3">
      <c r="A368" s="108"/>
      <c r="E368" s="127"/>
      <c r="F368" s="127"/>
      <c r="G368" s="127"/>
      <c r="H368" s="127"/>
      <c r="I368" s="127"/>
      <c r="J368" s="127"/>
      <c r="AZ368" s="108"/>
    </row>
    <row r="369" spans="1:52" s="107" customFormat="1" x14ac:dyDescent="0.3">
      <c r="A369" s="108"/>
      <c r="E369" s="127"/>
      <c r="F369" s="127"/>
      <c r="G369" s="127"/>
      <c r="H369" s="127"/>
      <c r="I369" s="127"/>
      <c r="J369" s="127"/>
      <c r="AZ369" s="108"/>
    </row>
    <row r="370" spans="1:52" s="107" customFormat="1" x14ac:dyDescent="0.3">
      <c r="A370" s="108"/>
      <c r="E370" s="127"/>
      <c r="F370" s="127"/>
      <c r="G370" s="127"/>
      <c r="H370" s="127"/>
      <c r="I370" s="127"/>
      <c r="J370" s="127"/>
      <c r="AZ370" s="108"/>
    </row>
    <row r="371" spans="1:52" s="107" customFormat="1" x14ac:dyDescent="0.3">
      <c r="A371" s="108"/>
      <c r="E371" s="127"/>
      <c r="F371" s="127"/>
      <c r="G371" s="127"/>
      <c r="H371" s="127"/>
      <c r="I371" s="127"/>
      <c r="J371" s="127"/>
      <c r="AZ371" s="108"/>
    </row>
    <row r="372" spans="1:52" s="107" customFormat="1" x14ac:dyDescent="0.3">
      <c r="A372" s="108"/>
      <c r="E372" s="127"/>
      <c r="F372" s="127"/>
      <c r="G372" s="127"/>
      <c r="H372" s="127"/>
      <c r="I372" s="127"/>
      <c r="J372" s="127"/>
      <c r="AZ372" s="108"/>
    </row>
    <row r="373" spans="1:52" s="107" customFormat="1" x14ac:dyDescent="0.3">
      <c r="A373" s="108"/>
      <c r="E373" s="127"/>
      <c r="F373" s="127"/>
      <c r="G373" s="127"/>
      <c r="H373" s="127"/>
      <c r="I373" s="127"/>
      <c r="J373" s="127"/>
      <c r="AZ373" s="108"/>
    </row>
    <row r="374" spans="1:52" s="107" customFormat="1" x14ac:dyDescent="0.3">
      <c r="A374" s="108"/>
      <c r="E374" s="127"/>
      <c r="F374" s="127"/>
      <c r="G374" s="127"/>
      <c r="H374" s="127"/>
      <c r="I374" s="127"/>
      <c r="J374" s="127"/>
      <c r="AZ374" s="108"/>
    </row>
    <row r="375" spans="1:52" s="107" customFormat="1" x14ac:dyDescent="0.3">
      <c r="A375" s="108"/>
      <c r="E375" s="127"/>
      <c r="F375" s="127"/>
      <c r="G375" s="127"/>
      <c r="H375" s="127"/>
      <c r="I375" s="127"/>
      <c r="J375" s="127"/>
      <c r="AZ375" s="108"/>
    </row>
    <row r="376" spans="1:52" s="107" customFormat="1" x14ac:dyDescent="0.3">
      <c r="A376" s="108"/>
      <c r="E376" s="127"/>
      <c r="F376" s="127"/>
      <c r="G376" s="127"/>
      <c r="H376" s="127"/>
      <c r="I376" s="127"/>
      <c r="J376" s="127"/>
      <c r="AZ376" s="108"/>
    </row>
    <row r="377" spans="1:52" s="107" customFormat="1" x14ac:dyDescent="0.3">
      <c r="A377" s="108"/>
      <c r="E377" s="127"/>
      <c r="F377" s="127"/>
      <c r="G377" s="127"/>
      <c r="H377" s="127"/>
      <c r="I377" s="127"/>
      <c r="J377" s="127"/>
      <c r="AZ377" s="108"/>
    </row>
    <row r="378" spans="1:52" s="107" customFormat="1" x14ac:dyDescent="0.3">
      <c r="A378" s="108"/>
      <c r="E378" s="127"/>
      <c r="F378" s="127"/>
      <c r="G378" s="127"/>
      <c r="H378" s="127"/>
      <c r="I378" s="127"/>
      <c r="J378" s="127"/>
      <c r="AZ378" s="108"/>
    </row>
    <row r="379" spans="1:52" s="107" customFormat="1" x14ac:dyDescent="0.3">
      <c r="A379" s="108"/>
      <c r="E379" s="127"/>
      <c r="F379" s="127"/>
      <c r="G379" s="127"/>
      <c r="H379" s="127"/>
      <c r="I379" s="127"/>
      <c r="J379" s="127"/>
      <c r="AZ379" s="108"/>
    </row>
    <row r="380" spans="1:52" s="107" customFormat="1" x14ac:dyDescent="0.3">
      <c r="A380" s="108"/>
      <c r="E380" s="127"/>
      <c r="F380" s="127"/>
      <c r="G380" s="127"/>
      <c r="H380" s="127"/>
      <c r="I380" s="127"/>
      <c r="J380" s="127"/>
      <c r="AZ380" s="108"/>
    </row>
    <row r="381" spans="1:52" s="107" customFormat="1" x14ac:dyDescent="0.3">
      <c r="A381" s="108"/>
      <c r="E381" s="127"/>
      <c r="F381" s="127"/>
      <c r="G381" s="127"/>
      <c r="H381" s="127"/>
      <c r="I381" s="127"/>
      <c r="J381" s="127"/>
      <c r="AZ381" s="108"/>
    </row>
    <row r="382" spans="1:52" s="107" customFormat="1" x14ac:dyDescent="0.3">
      <c r="A382" s="108"/>
      <c r="E382" s="127"/>
      <c r="F382" s="127"/>
      <c r="G382" s="127"/>
      <c r="H382" s="127"/>
      <c r="I382" s="127"/>
      <c r="J382" s="127"/>
      <c r="AZ382" s="108"/>
    </row>
    <row r="383" spans="1:52" s="107" customFormat="1" x14ac:dyDescent="0.3">
      <c r="A383" s="108"/>
      <c r="E383" s="127"/>
      <c r="F383" s="127"/>
      <c r="G383" s="127"/>
      <c r="H383" s="127"/>
      <c r="I383" s="127"/>
      <c r="J383" s="127"/>
      <c r="AZ383" s="108"/>
    </row>
    <row r="384" spans="1:52" s="107" customFormat="1" x14ac:dyDescent="0.3">
      <c r="A384" s="108"/>
      <c r="E384" s="127"/>
      <c r="F384" s="127"/>
      <c r="G384" s="127"/>
      <c r="H384" s="127"/>
      <c r="I384" s="127"/>
      <c r="J384" s="127"/>
      <c r="AZ384" s="108"/>
    </row>
    <row r="385" spans="1:52" s="107" customFormat="1" x14ac:dyDescent="0.3">
      <c r="A385" s="108"/>
      <c r="E385" s="127"/>
      <c r="F385" s="127"/>
      <c r="G385" s="127"/>
      <c r="H385" s="127"/>
      <c r="I385" s="127"/>
      <c r="J385" s="127"/>
      <c r="AZ385" s="108"/>
    </row>
    <row r="386" spans="1:52" s="107" customFormat="1" x14ac:dyDescent="0.3">
      <c r="A386" s="108"/>
      <c r="E386" s="127"/>
      <c r="F386" s="127"/>
      <c r="G386" s="127"/>
      <c r="H386" s="127"/>
      <c r="I386" s="127"/>
      <c r="J386" s="127"/>
      <c r="AZ386" s="108"/>
    </row>
    <row r="387" spans="1:52" s="107" customFormat="1" x14ac:dyDescent="0.3">
      <c r="A387" s="108"/>
      <c r="E387" s="127"/>
      <c r="F387" s="127"/>
      <c r="G387" s="127"/>
      <c r="H387" s="127"/>
      <c r="I387" s="127"/>
      <c r="J387" s="127"/>
      <c r="AZ387" s="108"/>
    </row>
    <row r="388" spans="1:52" s="107" customFormat="1" x14ac:dyDescent="0.3">
      <c r="A388" s="108"/>
      <c r="E388" s="127"/>
      <c r="F388" s="127"/>
      <c r="G388" s="127"/>
      <c r="H388" s="127"/>
      <c r="I388" s="127"/>
      <c r="J388" s="127"/>
      <c r="AZ388" s="108"/>
    </row>
    <row r="389" spans="1:52" s="107" customFormat="1" x14ac:dyDescent="0.3">
      <c r="A389" s="108"/>
      <c r="E389" s="127"/>
      <c r="F389" s="127"/>
      <c r="G389" s="127"/>
      <c r="H389" s="127"/>
      <c r="I389" s="127"/>
      <c r="J389" s="127"/>
      <c r="AZ389" s="108"/>
    </row>
    <row r="390" spans="1:52" s="107" customFormat="1" x14ac:dyDescent="0.3">
      <c r="A390" s="108"/>
      <c r="E390" s="127"/>
      <c r="F390" s="127"/>
      <c r="G390" s="127"/>
      <c r="H390" s="127"/>
      <c r="I390" s="127"/>
      <c r="J390" s="127"/>
      <c r="AZ390" s="108"/>
    </row>
    <row r="391" spans="1:52" s="107" customFormat="1" x14ac:dyDescent="0.3">
      <c r="A391" s="108"/>
      <c r="E391" s="127"/>
      <c r="F391" s="127"/>
      <c r="G391" s="127"/>
      <c r="H391" s="127"/>
      <c r="I391" s="127"/>
      <c r="J391" s="127"/>
      <c r="AZ391" s="108"/>
    </row>
    <row r="392" spans="1:52" s="107" customFormat="1" x14ac:dyDescent="0.3">
      <c r="A392" s="108"/>
      <c r="E392" s="127"/>
      <c r="F392" s="127"/>
      <c r="G392" s="127"/>
      <c r="H392" s="127"/>
      <c r="I392" s="127"/>
      <c r="J392" s="127"/>
      <c r="AZ392" s="108"/>
    </row>
    <row r="393" spans="1:52" s="107" customFormat="1" x14ac:dyDescent="0.3">
      <c r="A393" s="108"/>
      <c r="E393" s="127"/>
      <c r="F393" s="127"/>
      <c r="G393" s="127"/>
      <c r="H393" s="127"/>
      <c r="I393" s="127"/>
      <c r="J393" s="127"/>
      <c r="AZ393" s="108"/>
    </row>
    <row r="394" spans="1:52" s="107" customFormat="1" x14ac:dyDescent="0.3">
      <c r="A394" s="108"/>
      <c r="E394" s="127"/>
      <c r="F394" s="127"/>
      <c r="G394" s="127"/>
      <c r="H394" s="127"/>
      <c r="I394" s="127"/>
      <c r="J394" s="127"/>
      <c r="AZ394" s="108"/>
    </row>
    <row r="395" spans="1:52" s="107" customFormat="1" x14ac:dyDescent="0.3">
      <c r="A395" s="108"/>
      <c r="E395" s="127"/>
      <c r="F395" s="127"/>
      <c r="G395" s="127"/>
      <c r="H395" s="127"/>
      <c r="I395" s="127"/>
      <c r="J395" s="127"/>
      <c r="AZ395" s="108"/>
    </row>
    <row r="396" spans="1:52" s="107" customFormat="1" x14ac:dyDescent="0.3">
      <c r="A396" s="108"/>
      <c r="E396" s="127"/>
      <c r="F396" s="127"/>
      <c r="G396" s="127"/>
      <c r="H396" s="127"/>
      <c r="I396" s="127"/>
      <c r="J396" s="127"/>
      <c r="AZ396" s="108"/>
    </row>
    <row r="397" spans="1:52" s="107" customFormat="1" x14ac:dyDescent="0.3">
      <c r="A397" s="108"/>
      <c r="E397" s="127"/>
      <c r="F397" s="127"/>
      <c r="G397" s="127"/>
      <c r="H397" s="127"/>
      <c r="I397" s="127"/>
      <c r="J397" s="127"/>
      <c r="AZ397" s="108"/>
    </row>
    <row r="398" spans="1:52" s="107" customFormat="1" x14ac:dyDescent="0.3">
      <c r="A398" s="108"/>
      <c r="E398" s="127"/>
      <c r="F398" s="127"/>
      <c r="G398" s="127"/>
      <c r="H398" s="127"/>
      <c r="I398" s="127"/>
      <c r="J398" s="127"/>
      <c r="AZ398" s="108"/>
    </row>
    <row r="399" spans="1:52" s="107" customFormat="1" x14ac:dyDescent="0.3">
      <c r="A399" s="108"/>
      <c r="E399" s="127"/>
      <c r="F399" s="127"/>
      <c r="G399" s="127"/>
      <c r="H399" s="127"/>
      <c r="I399" s="127"/>
      <c r="J399" s="127"/>
      <c r="AZ399" s="108"/>
    </row>
    <row r="400" spans="1:52" s="107" customFormat="1" x14ac:dyDescent="0.3">
      <c r="A400" s="108"/>
      <c r="E400" s="127"/>
      <c r="F400" s="127"/>
      <c r="G400" s="127"/>
      <c r="H400" s="127"/>
      <c r="I400" s="127"/>
      <c r="J400" s="127"/>
      <c r="AZ400" s="108"/>
    </row>
    <row r="401" spans="1:52" s="107" customFormat="1" x14ac:dyDescent="0.3">
      <c r="A401" s="108"/>
      <c r="E401" s="127"/>
      <c r="F401" s="127"/>
      <c r="G401" s="127"/>
      <c r="H401" s="127"/>
      <c r="I401" s="127"/>
      <c r="J401" s="127"/>
      <c r="AZ401" s="108"/>
    </row>
    <row r="402" spans="1:52" s="107" customFormat="1" x14ac:dyDescent="0.3">
      <c r="A402" s="108"/>
      <c r="E402" s="127"/>
      <c r="F402" s="127"/>
      <c r="G402" s="127"/>
      <c r="H402" s="127"/>
      <c r="I402" s="127"/>
      <c r="J402" s="127"/>
      <c r="AZ402" s="108"/>
    </row>
    <row r="403" spans="1:52" s="107" customFormat="1" x14ac:dyDescent="0.3">
      <c r="A403" s="108"/>
      <c r="E403" s="127"/>
      <c r="F403" s="127"/>
      <c r="G403" s="127"/>
      <c r="H403" s="127"/>
      <c r="I403" s="127"/>
      <c r="J403" s="127"/>
      <c r="AZ403" s="108"/>
    </row>
    <row r="404" spans="1:52" s="107" customFormat="1" x14ac:dyDescent="0.3">
      <c r="A404" s="108"/>
      <c r="E404" s="127"/>
      <c r="F404" s="127"/>
      <c r="G404" s="127"/>
      <c r="H404" s="127"/>
      <c r="I404" s="127"/>
      <c r="J404" s="127"/>
      <c r="AZ404" s="108"/>
    </row>
    <row r="405" spans="1:52" s="107" customFormat="1" x14ac:dyDescent="0.3">
      <c r="A405" s="108"/>
      <c r="E405" s="127"/>
      <c r="F405" s="127"/>
      <c r="G405" s="127"/>
      <c r="H405" s="127"/>
      <c r="I405" s="127"/>
      <c r="J405" s="127"/>
      <c r="AZ405" s="108"/>
    </row>
    <row r="406" spans="1:52" s="107" customFormat="1" x14ac:dyDescent="0.3">
      <c r="A406" s="108"/>
      <c r="E406" s="127"/>
      <c r="F406" s="127"/>
      <c r="G406" s="127"/>
      <c r="H406" s="127"/>
      <c r="I406" s="127"/>
      <c r="J406" s="127"/>
      <c r="AZ406" s="108"/>
    </row>
    <row r="407" spans="1:52" s="107" customFormat="1" x14ac:dyDescent="0.3">
      <c r="A407" s="108"/>
      <c r="E407" s="127"/>
      <c r="F407" s="127"/>
      <c r="G407" s="127"/>
      <c r="H407" s="127"/>
      <c r="I407" s="127"/>
      <c r="J407" s="127"/>
      <c r="AZ407" s="108"/>
    </row>
    <row r="408" spans="1:52" s="107" customFormat="1" x14ac:dyDescent="0.3">
      <c r="A408" s="108"/>
      <c r="E408" s="127"/>
      <c r="F408" s="127"/>
      <c r="G408" s="127"/>
      <c r="H408" s="127"/>
      <c r="I408" s="127"/>
      <c r="J408" s="127"/>
      <c r="AZ408" s="108"/>
    </row>
    <row r="409" spans="1:52" s="107" customFormat="1" x14ac:dyDescent="0.3">
      <c r="A409" s="108"/>
      <c r="E409" s="127"/>
      <c r="F409" s="127"/>
      <c r="G409" s="127"/>
      <c r="H409" s="127"/>
      <c r="I409" s="127"/>
      <c r="J409" s="127"/>
      <c r="AZ409" s="108"/>
    </row>
    <row r="410" spans="1:52" s="107" customFormat="1" x14ac:dyDescent="0.3">
      <c r="A410" s="108"/>
      <c r="E410" s="127"/>
      <c r="F410" s="127"/>
      <c r="G410" s="127"/>
      <c r="H410" s="127"/>
      <c r="I410" s="127"/>
      <c r="J410" s="127"/>
      <c r="AZ410" s="108"/>
    </row>
    <row r="411" spans="1:52" s="107" customFormat="1" x14ac:dyDescent="0.3">
      <c r="A411" s="108"/>
      <c r="E411" s="127"/>
      <c r="F411" s="127"/>
      <c r="G411" s="127"/>
      <c r="H411" s="127"/>
      <c r="I411" s="127"/>
      <c r="J411" s="127"/>
      <c r="AZ411" s="108"/>
    </row>
    <row r="412" spans="1:52" s="107" customFormat="1" x14ac:dyDescent="0.3">
      <c r="A412" s="108"/>
      <c r="E412" s="127"/>
      <c r="F412" s="127"/>
      <c r="G412" s="127"/>
      <c r="H412" s="127"/>
      <c r="I412" s="127"/>
      <c r="J412" s="127"/>
      <c r="AZ412" s="108"/>
    </row>
    <row r="413" spans="1:52" s="107" customFormat="1" x14ac:dyDescent="0.3">
      <c r="A413" s="108"/>
      <c r="E413" s="127"/>
      <c r="F413" s="127"/>
      <c r="G413" s="127"/>
      <c r="H413" s="127"/>
      <c r="I413" s="127"/>
      <c r="J413" s="127"/>
      <c r="AZ413" s="108"/>
    </row>
    <row r="414" spans="1:52" s="107" customFormat="1" x14ac:dyDescent="0.3">
      <c r="A414" s="108"/>
      <c r="E414" s="127"/>
      <c r="F414" s="127"/>
      <c r="G414" s="127"/>
      <c r="H414" s="127"/>
      <c r="I414" s="127"/>
      <c r="J414" s="127"/>
      <c r="AZ414" s="108"/>
    </row>
    <row r="415" spans="1:52" s="107" customFormat="1" x14ac:dyDescent="0.3">
      <c r="A415" s="108"/>
      <c r="E415" s="127"/>
      <c r="F415" s="127"/>
      <c r="G415" s="127"/>
      <c r="H415" s="127"/>
      <c r="I415" s="127"/>
      <c r="J415" s="127"/>
      <c r="AZ415" s="108"/>
    </row>
    <row r="416" spans="1:52" s="107" customFormat="1" x14ac:dyDescent="0.3">
      <c r="A416" s="108"/>
      <c r="E416" s="127"/>
      <c r="F416" s="127"/>
      <c r="G416" s="127"/>
      <c r="H416" s="127"/>
      <c r="I416" s="127"/>
      <c r="J416" s="127"/>
      <c r="AZ416" s="108"/>
    </row>
    <row r="417" spans="1:52" s="107" customFormat="1" x14ac:dyDescent="0.3">
      <c r="A417" s="108"/>
      <c r="E417" s="127"/>
      <c r="F417" s="127"/>
      <c r="G417" s="127"/>
      <c r="H417" s="127"/>
      <c r="I417" s="127"/>
      <c r="J417" s="127"/>
      <c r="AZ417" s="108"/>
    </row>
    <row r="418" spans="1:52" s="107" customFormat="1" x14ac:dyDescent="0.3">
      <c r="A418" s="108"/>
      <c r="E418" s="127"/>
      <c r="F418" s="127"/>
      <c r="G418" s="127"/>
      <c r="H418" s="127"/>
      <c r="I418" s="127"/>
      <c r="J418" s="127"/>
      <c r="AZ418" s="108"/>
    </row>
    <row r="419" spans="1:52" s="107" customFormat="1" x14ac:dyDescent="0.3">
      <c r="A419" s="108"/>
      <c r="E419" s="127"/>
      <c r="F419" s="127"/>
      <c r="G419" s="127"/>
      <c r="H419" s="127"/>
      <c r="I419" s="127"/>
      <c r="J419" s="127"/>
      <c r="AZ419" s="108"/>
    </row>
    <row r="420" spans="1:52" s="107" customFormat="1" x14ac:dyDescent="0.3">
      <c r="A420" s="108"/>
      <c r="E420" s="127"/>
      <c r="F420" s="127"/>
      <c r="G420" s="127"/>
      <c r="H420" s="127"/>
      <c r="I420" s="127"/>
      <c r="J420" s="127"/>
      <c r="AZ420" s="108"/>
    </row>
    <row r="421" spans="1:52" s="107" customFormat="1" x14ac:dyDescent="0.3">
      <c r="A421" s="108"/>
      <c r="E421" s="127"/>
      <c r="F421" s="127"/>
      <c r="G421" s="127"/>
      <c r="H421" s="127"/>
      <c r="I421" s="127"/>
      <c r="J421" s="127"/>
      <c r="AZ421" s="108"/>
    </row>
    <row r="422" spans="1:52" s="107" customFormat="1" x14ac:dyDescent="0.3">
      <c r="A422" s="108"/>
      <c r="E422" s="127"/>
      <c r="F422" s="127"/>
      <c r="G422" s="127"/>
      <c r="H422" s="127"/>
      <c r="I422" s="127"/>
      <c r="J422" s="127"/>
      <c r="AZ422" s="108"/>
    </row>
    <row r="423" spans="1:52" s="107" customFormat="1" x14ac:dyDescent="0.3">
      <c r="A423" s="108"/>
      <c r="E423" s="127"/>
      <c r="F423" s="127"/>
      <c r="G423" s="127"/>
      <c r="H423" s="127"/>
      <c r="I423" s="127"/>
      <c r="J423" s="127"/>
      <c r="AZ423" s="108"/>
    </row>
    <row r="424" spans="1:52" s="107" customFormat="1" x14ac:dyDescent="0.3">
      <c r="A424" s="108"/>
      <c r="E424" s="127"/>
      <c r="F424" s="127"/>
      <c r="G424" s="127"/>
      <c r="H424" s="127"/>
      <c r="I424" s="127"/>
      <c r="J424" s="127"/>
      <c r="AZ424" s="108"/>
    </row>
    <row r="425" spans="1:52" s="107" customFormat="1" x14ac:dyDescent="0.3">
      <c r="A425" s="108"/>
      <c r="E425" s="127"/>
      <c r="F425" s="127"/>
      <c r="G425" s="127"/>
      <c r="H425" s="127"/>
      <c r="I425" s="127"/>
      <c r="J425" s="127"/>
      <c r="AZ425" s="108"/>
    </row>
    <row r="426" spans="1:52" s="107" customFormat="1" x14ac:dyDescent="0.3">
      <c r="A426" s="108"/>
      <c r="E426" s="127"/>
      <c r="F426" s="127"/>
      <c r="G426" s="127"/>
      <c r="H426" s="127"/>
      <c r="I426" s="127"/>
      <c r="J426" s="127"/>
      <c r="AZ426" s="108"/>
    </row>
    <row r="427" spans="1:52" s="107" customFormat="1" x14ac:dyDescent="0.3">
      <c r="A427" s="108"/>
      <c r="E427" s="127"/>
      <c r="F427" s="127"/>
      <c r="G427" s="127"/>
      <c r="H427" s="127"/>
      <c r="I427" s="127"/>
      <c r="J427" s="127"/>
      <c r="AZ427" s="108"/>
    </row>
    <row r="428" spans="1:52" s="107" customFormat="1" x14ac:dyDescent="0.3">
      <c r="A428" s="108"/>
      <c r="E428" s="127"/>
      <c r="F428" s="127"/>
      <c r="G428" s="127"/>
      <c r="H428" s="127"/>
      <c r="I428" s="127"/>
      <c r="J428" s="127"/>
      <c r="AZ428" s="108"/>
    </row>
    <row r="429" spans="1:52" s="107" customFormat="1" x14ac:dyDescent="0.3">
      <c r="A429" s="108"/>
      <c r="E429" s="127"/>
      <c r="F429" s="127"/>
      <c r="G429" s="127"/>
      <c r="H429" s="127"/>
      <c r="I429" s="127"/>
      <c r="J429" s="127"/>
      <c r="AZ429" s="108"/>
    </row>
    <row r="430" spans="1:52" s="107" customFormat="1" x14ac:dyDescent="0.3">
      <c r="A430" s="108"/>
      <c r="E430" s="127"/>
      <c r="F430" s="127"/>
      <c r="G430" s="127"/>
      <c r="H430" s="127"/>
      <c r="I430" s="127"/>
      <c r="J430" s="127"/>
      <c r="AZ430" s="108"/>
    </row>
    <row r="431" spans="1:52" s="107" customFormat="1" x14ac:dyDescent="0.3">
      <c r="A431" s="108"/>
      <c r="E431" s="127"/>
      <c r="F431" s="127"/>
      <c r="G431" s="127"/>
      <c r="H431" s="127"/>
      <c r="I431" s="127"/>
      <c r="J431" s="127"/>
      <c r="AZ431" s="108"/>
    </row>
    <row r="432" spans="1:52" s="107" customFormat="1" x14ac:dyDescent="0.3">
      <c r="A432" s="108"/>
      <c r="E432" s="127"/>
      <c r="F432" s="127"/>
      <c r="G432" s="127"/>
      <c r="H432" s="127"/>
      <c r="I432" s="127"/>
      <c r="J432" s="127"/>
      <c r="AZ432" s="108"/>
    </row>
    <row r="433" spans="1:52" s="107" customFormat="1" x14ac:dyDescent="0.3">
      <c r="A433" s="108"/>
      <c r="E433" s="127"/>
      <c r="F433" s="127"/>
      <c r="G433" s="127"/>
      <c r="H433" s="127"/>
      <c r="I433" s="127"/>
      <c r="J433" s="127"/>
      <c r="AZ433" s="108"/>
    </row>
    <row r="434" spans="1:52" s="107" customFormat="1" x14ac:dyDescent="0.3">
      <c r="A434" s="108"/>
      <c r="E434" s="127"/>
      <c r="F434" s="127"/>
      <c r="G434" s="127"/>
      <c r="H434" s="127"/>
      <c r="I434" s="127"/>
      <c r="J434" s="127"/>
      <c r="AZ434" s="108"/>
    </row>
    <row r="435" spans="1:52" s="107" customFormat="1" x14ac:dyDescent="0.3">
      <c r="A435" s="108"/>
      <c r="E435" s="127"/>
      <c r="F435" s="127"/>
      <c r="G435" s="127"/>
      <c r="H435" s="127"/>
      <c r="I435" s="127"/>
      <c r="J435" s="127"/>
      <c r="AZ435" s="108"/>
    </row>
    <row r="436" spans="1:52" s="107" customFormat="1" x14ac:dyDescent="0.3">
      <c r="A436" s="108"/>
      <c r="E436" s="127"/>
      <c r="F436" s="127"/>
      <c r="G436" s="127"/>
      <c r="H436" s="127"/>
      <c r="I436" s="127"/>
      <c r="J436" s="127"/>
      <c r="AZ436" s="108"/>
    </row>
    <row r="437" spans="1:52" s="107" customFormat="1" x14ac:dyDescent="0.3">
      <c r="A437" s="108"/>
      <c r="E437" s="127"/>
      <c r="F437" s="127"/>
      <c r="G437" s="127"/>
      <c r="H437" s="127"/>
      <c r="I437" s="127"/>
      <c r="J437" s="127"/>
      <c r="AZ437" s="108"/>
    </row>
    <row r="438" spans="1:52" s="107" customFormat="1" x14ac:dyDescent="0.3">
      <c r="A438" s="108"/>
      <c r="E438" s="127"/>
      <c r="F438" s="127"/>
      <c r="G438" s="127"/>
      <c r="H438" s="127"/>
      <c r="I438" s="127"/>
      <c r="J438" s="127"/>
      <c r="AZ438" s="108"/>
    </row>
    <row r="439" spans="1:52" s="107" customFormat="1" x14ac:dyDescent="0.3">
      <c r="A439" s="108"/>
      <c r="E439" s="127"/>
      <c r="F439" s="127"/>
      <c r="G439" s="127"/>
      <c r="H439" s="127"/>
      <c r="I439" s="127"/>
      <c r="J439" s="127"/>
      <c r="AZ439" s="108"/>
    </row>
    <row r="440" spans="1:52" s="107" customFormat="1" x14ac:dyDescent="0.3">
      <c r="A440" s="108"/>
      <c r="E440" s="127"/>
      <c r="F440" s="127"/>
      <c r="G440" s="127"/>
      <c r="H440" s="127"/>
      <c r="I440" s="127"/>
      <c r="J440" s="127"/>
      <c r="AZ440" s="108"/>
    </row>
    <row r="441" spans="1:52" s="107" customFormat="1" x14ac:dyDescent="0.3">
      <c r="A441" s="108"/>
      <c r="E441" s="127"/>
      <c r="F441" s="127"/>
      <c r="G441" s="127"/>
      <c r="H441" s="127"/>
      <c r="I441" s="127"/>
      <c r="J441" s="127"/>
      <c r="AZ441" s="108"/>
    </row>
    <row r="442" spans="1:52" s="107" customFormat="1" x14ac:dyDescent="0.3">
      <c r="A442" s="108"/>
      <c r="E442" s="127"/>
      <c r="F442" s="127"/>
      <c r="G442" s="127"/>
      <c r="H442" s="127"/>
      <c r="I442" s="127"/>
      <c r="J442" s="127"/>
      <c r="AZ442" s="108"/>
    </row>
    <row r="443" spans="1:52" s="107" customFormat="1" x14ac:dyDescent="0.3">
      <c r="A443" s="108"/>
      <c r="E443" s="127"/>
      <c r="F443" s="127"/>
      <c r="G443" s="127"/>
      <c r="H443" s="127"/>
      <c r="I443" s="127"/>
      <c r="J443" s="127"/>
      <c r="AZ443" s="108"/>
    </row>
    <row r="444" spans="1:52" s="107" customFormat="1" x14ac:dyDescent="0.3">
      <c r="A444" s="108"/>
      <c r="E444" s="127"/>
      <c r="F444" s="127"/>
      <c r="G444" s="127"/>
      <c r="H444" s="127"/>
      <c r="I444" s="127"/>
      <c r="J444" s="127"/>
      <c r="AZ444" s="108"/>
    </row>
    <row r="445" spans="1:52" s="107" customFormat="1" x14ac:dyDescent="0.3">
      <c r="A445" s="108"/>
      <c r="E445" s="127"/>
      <c r="F445" s="127"/>
      <c r="G445" s="127"/>
      <c r="H445" s="127"/>
      <c r="I445" s="127"/>
      <c r="J445" s="127"/>
      <c r="AZ445" s="108"/>
    </row>
    <row r="446" spans="1:52" s="107" customFormat="1" x14ac:dyDescent="0.3">
      <c r="A446" s="108"/>
      <c r="E446" s="127"/>
      <c r="F446" s="127"/>
      <c r="G446" s="127"/>
      <c r="H446" s="127"/>
      <c r="I446" s="127"/>
      <c r="J446" s="127"/>
      <c r="AZ446" s="108"/>
    </row>
    <row r="447" spans="1:52" s="107" customFormat="1" x14ac:dyDescent="0.3">
      <c r="A447" s="108"/>
      <c r="E447" s="127"/>
      <c r="F447" s="127"/>
      <c r="G447" s="127"/>
      <c r="H447" s="127"/>
      <c r="I447" s="127"/>
      <c r="J447" s="127"/>
      <c r="AZ447" s="108"/>
    </row>
    <row r="448" spans="1:52" s="107" customFormat="1" x14ac:dyDescent="0.3">
      <c r="A448" s="108"/>
      <c r="E448" s="127"/>
      <c r="F448" s="127"/>
      <c r="G448" s="127"/>
      <c r="H448" s="127"/>
      <c r="I448" s="127"/>
      <c r="J448" s="127"/>
      <c r="AZ448" s="108"/>
    </row>
    <row r="449" spans="1:52" s="107" customFormat="1" x14ac:dyDescent="0.3">
      <c r="A449" s="108"/>
      <c r="E449" s="127"/>
      <c r="F449" s="127"/>
      <c r="G449" s="127"/>
      <c r="H449" s="127"/>
      <c r="I449" s="127"/>
      <c r="J449" s="127"/>
      <c r="AZ449" s="108"/>
    </row>
    <row r="450" spans="1:52" s="107" customFormat="1" x14ac:dyDescent="0.3">
      <c r="A450" s="108"/>
      <c r="E450" s="127"/>
      <c r="F450" s="127"/>
      <c r="G450" s="127"/>
      <c r="H450" s="127"/>
      <c r="I450" s="127"/>
      <c r="J450" s="127"/>
      <c r="AZ450" s="108"/>
    </row>
    <row r="451" spans="1:52" s="107" customFormat="1" x14ac:dyDescent="0.3">
      <c r="A451" s="108"/>
      <c r="E451" s="127"/>
      <c r="F451" s="127"/>
      <c r="G451" s="127"/>
      <c r="H451" s="127"/>
      <c r="I451" s="127"/>
      <c r="J451" s="127"/>
      <c r="AZ451" s="108"/>
    </row>
    <row r="452" spans="1:52" s="107" customFormat="1" x14ac:dyDescent="0.3">
      <c r="A452" s="108"/>
      <c r="E452" s="127"/>
      <c r="F452" s="127"/>
      <c r="G452" s="127"/>
      <c r="H452" s="127"/>
      <c r="I452" s="127"/>
      <c r="J452" s="127"/>
      <c r="AZ452" s="108"/>
    </row>
    <row r="453" spans="1:52" s="107" customFormat="1" x14ac:dyDescent="0.3">
      <c r="A453" s="108"/>
      <c r="E453" s="127"/>
      <c r="F453" s="127"/>
      <c r="G453" s="127"/>
      <c r="H453" s="127"/>
      <c r="I453" s="127"/>
      <c r="J453" s="127"/>
      <c r="AZ453" s="108"/>
    </row>
    <row r="454" spans="1:52" s="107" customFormat="1" x14ac:dyDescent="0.3">
      <c r="A454" s="108"/>
      <c r="E454" s="127"/>
      <c r="F454" s="127"/>
      <c r="G454" s="127"/>
      <c r="H454" s="127"/>
      <c r="I454" s="127"/>
      <c r="J454" s="127"/>
      <c r="AZ454" s="108"/>
    </row>
    <row r="455" spans="1:52" s="107" customFormat="1" x14ac:dyDescent="0.3">
      <c r="A455" s="108"/>
      <c r="E455" s="127"/>
      <c r="F455" s="127"/>
      <c r="G455" s="127"/>
      <c r="H455" s="127"/>
      <c r="I455" s="127"/>
      <c r="J455" s="127"/>
      <c r="AZ455" s="108"/>
    </row>
    <row r="456" spans="1:52" s="107" customFormat="1" x14ac:dyDescent="0.3">
      <c r="A456" s="108"/>
      <c r="E456" s="127"/>
      <c r="F456" s="127"/>
      <c r="G456" s="127"/>
      <c r="H456" s="127"/>
      <c r="I456" s="127"/>
      <c r="J456" s="127"/>
      <c r="AZ456" s="108"/>
    </row>
    <row r="457" spans="1:52" s="107" customFormat="1" x14ac:dyDescent="0.3">
      <c r="A457" s="108"/>
      <c r="E457" s="127"/>
      <c r="F457" s="127"/>
      <c r="G457" s="127"/>
      <c r="H457" s="127"/>
      <c r="I457" s="127"/>
      <c r="J457" s="127"/>
      <c r="AZ457" s="108"/>
    </row>
    <row r="458" spans="1:52" s="107" customFormat="1" x14ac:dyDescent="0.3">
      <c r="A458" s="108"/>
      <c r="E458" s="127"/>
      <c r="F458" s="127"/>
      <c r="G458" s="127"/>
      <c r="H458" s="127"/>
      <c r="I458" s="127"/>
      <c r="J458" s="127"/>
      <c r="AZ458" s="108"/>
    </row>
    <row r="459" spans="1:52" s="107" customFormat="1" x14ac:dyDescent="0.3">
      <c r="A459" s="108"/>
      <c r="E459" s="127"/>
      <c r="F459" s="127"/>
      <c r="G459" s="127"/>
      <c r="H459" s="127"/>
      <c r="I459" s="127"/>
      <c r="J459" s="127"/>
      <c r="AZ459" s="108"/>
    </row>
    <row r="460" spans="1:52" s="107" customFormat="1" x14ac:dyDescent="0.3">
      <c r="A460" s="108"/>
      <c r="E460" s="127"/>
      <c r="F460" s="127"/>
      <c r="G460" s="127"/>
      <c r="H460" s="127"/>
      <c r="I460" s="127"/>
      <c r="J460" s="127"/>
      <c r="AZ460" s="108"/>
    </row>
    <row r="461" spans="1:52" s="107" customFormat="1" x14ac:dyDescent="0.3">
      <c r="A461" s="108"/>
      <c r="E461" s="127"/>
      <c r="F461" s="127"/>
      <c r="G461" s="127"/>
      <c r="H461" s="127"/>
      <c r="I461" s="127"/>
      <c r="J461" s="127"/>
      <c r="AZ461" s="108"/>
    </row>
    <row r="462" spans="1:52" s="107" customFormat="1" x14ac:dyDescent="0.3">
      <c r="A462" s="108"/>
      <c r="E462" s="127"/>
      <c r="F462" s="127"/>
      <c r="G462" s="127"/>
      <c r="H462" s="127"/>
      <c r="I462" s="127"/>
      <c r="J462" s="127"/>
      <c r="AZ462" s="108"/>
    </row>
    <row r="463" spans="1:52" s="107" customFormat="1" x14ac:dyDescent="0.3">
      <c r="A463" s="108"/>
      <c r="E463" s="127"/>
      <c r="F463" s="127"/>
      <c r="G463" s="127"/>
      <c r="H463" s="127"/>
      <c r="I463" s="127"/>
      <c r="J463" s="127"/>
      <c r="AZ463" s="108"/>
    </row>
    <row r="464" spans="1:52" s="107" customFormat="1" x14ac:dyDescent="0.3">
      <c r="A464" s="108"/>
      <c r="E464" s="127"/>
      <c r="F464" s="127"/>
      <c r="G464" s="127"/>
      <c r="H464" s="127"/>
      <c r="I464" s="127"/>
      <c r="J464" s="127"/>
      <c r="AZ464" s="108"/>
    </row>
    <row r="465" spans="1:52" s="107" customFormat="1" x14ac:dyDescent="0.3">
      <c r="A465" s="108"/>
      <c r="E465" s="127"/>
      <c r="F465" s="127"/>
      <c r="G465" s="127"/>
      <c r="H465" s="127"/>
      <c r="I465" s="127"/>
      <c r="J465" s="127"/>
      <c r="AZ465" s="108"/>
    </row>
    <row r="466" spans="1:52" s="107" customFormat="1" x14ac:dyDescent="0.3">
      <c r="A466" s="108"/>
      <c r="E466" s="127"/>
      <c r="F466" s="127"/>
      <c r="G466" s="127"/>
      <c r="H466" s="127"/>
      <c r="I466" s="127"/>
      <c r="J466" s="127"/>
      <c r="AZ466" s="108"/>
    </row>
    <row r="467" spans="1:52" s="107" customFormat="1" x14ac:dyDescent="0.3">
      <c r="A467" s="108"/>
      <c r="E467" s="127"/>
      <c r="F467" s="127"/>
      <c r="G467" s="127"/>
      <c r="H467" s="127"/>
      <c r="I467" s="127"/>
      <c r="J467" s="127"/>
      <c r="AZ467" s="108"/>
    </row>
    <row r="468" spans="1:52" s="107" customFormat="1" x14ac:dyDescent="0.3">
      <c r="A468" s="108"/>
      <c r="E468" s="127"/>
      <c r="F468" s="127"/>
      <c r="G468" s="127"/>
      <c r="H468" s="127"/>
      <c r="I468" s="127"/>
      <c r="J468" s="127"/>
      <c r="AZ468" s="108"/>
    </row>
    <row r="469" spans="1:52" s="107" customFormat="1" x14ac:dyDescent="0.3">
      <c r="A469" s="108"/>
      <c r="E469" s="127"/>
      <c r="F469" s="127"/>
      <c r="G469" s="127"/>
      <c r="H469" s="127"/>
      <c r="I469" s="127"/>
      <c r="J469" s="127"/>
      <c r="AZ469" s="108"/>
    </row>
    <row r="470" spans="1:52" s="107" customFormat="1" x14ac:dyDescent="0.3">
      <c r="A470" s="108"/>
      <c r="E470" s="127"/>
      <c r="F470" s="127"/>
      <c r="G470" s="127"/>
      <c r="H470" s="127"/>
      <c r="I470" s="127"/>
      <c r="J470" s="127"/>
      <c r="AZ470" s="108"/>
    </row>
    <row r="471" spans="1:52" s="107" customFormat="1" x14ac:dyDescent="0.3">
      <c r="A471" s="108"/>
      <c r="E471" s="127"/>
      <c r="F471" s="127"/>
      <c r="G471" s="127"/>
      <c r="H471" s="127"/>
      <c r="I471" s="127"/>
      <c r="J471" s="127"/>
      <c r="AZ471" s="108"/>
    </row>
    <row r="472" spans="1:52" s="107" customFormat="1" x14ac:dyDescent="0.3">
      <c r="A472" s="108"/>
      <c r="E472" s="127"/>
      <c r="F472" s="127"/>
      <c r="G472" s="127"/>
      <c r="H472" s="127"/>
      <c r="I472" s="127"/>
      <c r="J472" s="127"/>
      <c r="AZ472" s="108"/>
    </row>
    <row r="473" spans="1:52" s="107" customFormat="1" x14ac:dyDescent="0.3">
      <c r="A473" s="108"/>
      <c r="E473" s="127"/>
      <c r="F473" s="127"/>
      <c r="G473" s="127"/>
      <c r="H473" s="127"/>
      <c r="I473" s="127"/>
      <c r="J473" s="127"/>
      <c r="AZ473" s="108"/>
    </row>
    <row r="474" spans="1:52" s="107" customFormat="1" x14ac:dyDescent="0.3">
      <c r="A474" s="108"/>
      <c r="E474" s="127"/>
      <c r="F474" s="127"/>
      <c r="G474" s="127"/>
      <c r="H474" s="127"/>
      <c r="I474" s="127"/>
      <c r="J474" s="127"/>
      <c r="AZ474" s="108"/>
    </row>
    <row r="475" spans="1:52" s="107" customFormat="1" x14ac:dyDescent="0.3">
      <c r="A475" s="108"/>
      <c r="E475" s="127"/>
      <c r="F475" s="127"/>
      <c r="G475" s="127"/>
      <c r="H475" s="127"/>
      <c r="I475" s="127"/>
      <c r="J475" s="127"/>
      <c r="AZ475" s="108"/>
    </row>
    <row r="476" spans="1:52" s="107" customFormat="1" x14ac:dyDescent="0.3">
      <c r="A476" s="108"/>
      <c r="E476" s="127"/>
      <c r="F476" s="127"/>
      <c r="G476" s="127"/>
      <c r="H476" s="127"/>
      <c r="I476" s="127"/>
      <c r="J476" s="127"/>
      <c r="AZ476" s="108"/>
    </row>
    <row r="477" spans="1:52" s="107" customFormat="1" x14ac:dyDescent="0.3">
      <c r="A477" s="108"/>
      <c r="E477" s="127"/>
      <c r="F477" s="127"/>
      <c r="G477" s="127"/>
      <c r="H477" s="127"/>
      <c r="I477" s="127"/>
      <c r="J477" s="127"/>
      <c r="AZ477" s="108"/>
    </row>
    <row r="478" spans="1:52" s="107" customFormat="1" x14ac:dyDescent="0.3">
      <c r="A478" s="108"/>
      <c r="E478" s="127"/>
      <c r="F478" s="127"/>
      <c r="G478" s="127"/>
      <c r="H478" s="127"/>
      <c r="I478" s="127"/>
      <c r="J478" s="127"/>
      <c r="AZ478" s="108"/>
    </row>
    <row r="479" spans="1:52" s="107" customFormat="1" x14ac:dyDescent="0.3">
      <c r="A479" s="108"/>
      <c r="E479" s="127"/>
      <c r="F479" s="127"/>
      <c r="G479" s="127"/>
      <c r="H479" s="127"/>
      <c r="I479" s="127"/>
      <c r="J479" s="127"/>
      <c r="AZ479" s="108"/>
    </row>
    <row r="480" spans="1:52" s="107" customFormat="1" x14ac:dyDescent="0.3">
      <c r="A480" s="108"/>
      <c r="E480" s="127"/>
      <c r="F480" s="127"/>
      <c r="G480" s="127"/>
      <c r="H480" s="127"/>
      <c r="I480" s="127"/>
      <c r="J480" s="127"/>
      <c r="AZ480" s="108"/>
    </row>
    <row r="481" spans="1:52" s="107" customFormat="1" x14ac:dyDescent="0.3">
      <c r="A481" s="108"/>
      <c r="E481" s="127"/>
      <c r="F481" s="127"/>
      <c r="G481" s="127"/>
      <c r="H481" s="127"/>
      <c r="I481" s="127"/>
      <c r="J481" s="127"/>
      <c r="AZ481" s="108"/>
    </row>
    <row r="482" spans="1:52" s="107" customFormat="1" x14ac:dyDescent="0.3">
      <c r="A482" s="108"/>
      <c r="E482" s="127"/>
      <c r="F482" s="127"/>
      <c r="G482" s="127"/>
      <c r="H482" s="127"/>
      <c r="I482" s="127"/>
      <c r="J482" s="127"/>
      <c r="AZ482" s="108"/>
    </row>
    <row r="483" spans="1:52" s="107" customFormat="1" x14ac:dyDescent="0.3">
      <c r="A483" s="108"/>
      <c r="E483" s="127"/>
      <c r="F483" s="127"/>
      <c r="G483" s="127"/>
      <c r="H483" s="127"/>
      <c r="I483" s="127"/>
      <c r="J483" s="127"/>
      <c r="AZ483" s="108"/>
    </row>
    <row r="484" spans="1:52" s="107" customFormat="1" x14ac:dyDescent="0.3">
      <c r="A484" s="108"/>
      <c r="E484" s="127"/>
      <c r="F484" s="127"/>
      <c r="G484" s="127"/>
      <c r="H484" s="127"/>
      <c r="I484" s="127"/>
      <c r="J484" s="127"/>
      <c r="AZ484" s="108"/>
    </row>
    <row r="485" spans="1:52" s="107" customFormat="1" x14ac:dyDescent="0.3">
      <c r="A485" s="108"/>
      <c r="E485" s="127"/>
      <c r="F485" s="127"/>
      <c r="G485" s="127"/>
      <c r="H485" s="127"/>
      <c r="I485" s="127"/>
      <c r="J485" s="127"/>
      <c r="AZ485" s="108"/>
    </row>
    <row r="486" spans="1:52" s="107" customFormat="1" x14ac:dyDescent="0.3">
      <c r="A486" s="108"/>
      <c r="E486" s="127"/>
      <c r="F486" s="127"/>
      <c r="G486" s="127"/>
      <c r="H486" s="127"/>
      <c r="I486" s="127"/>
      <c r="J486" s="127"/>
      <c r="AZ486" s="108"/>
    </row>
    <row r="487" spans="1:52" s="107" customFormat="1" x14ac:dyDescent="0.3">
      <c r="A487" s="108"/>
      <c r="E487" s="127"/>
      <c r="F487" s="127"/>
      <c r="G487" s="127"/>
      <c r="H487" s="127"/>
      <c r="I487" s="127"/>
      <c r="J487" s="127"/>
      <c r="AZ487" s="108"/>
    </row>
    <row r="488" spans="1:52" s="107" customFormat="1" x14ac:dyDescent="0.3">
      <c r="A488" s="108"/>
      <c r="E488" s="127"/>
      <c r="F488" s="127"/>
      <c r="G488" s="127"/>
      <c r="H488" s="127"/>
      <c r="I488" s="127"/>
      <c r="J488" s="127"/>
      <c r="AZ488" s="108"/>
    </row>
    <row r="489" spans="1:52" s="107" customFormat="1" x14ac:dyDescent="0.3">
      <c r="A489" s="108"/>
      <c r="E489" s="127"/>
      <c r="F489" s="127"/>
      <c r="G489" s="127"/>
      <c r="H489" s="127"/>
      <c r="I489" s="127"/>
      <c r="J489" s="127"/>
      <c r="AZ489" s="108"/>
    </row>
    <row r="490" spans="1:52" s="107" customFormat="1" x14ac:dyDescent="0.3">
      <c r="A490" s="108"/>
      <c r="E490" s="127"/>
      <c r="F490" s="127"/>
      <c r="G490" s="127"/>
      <c r="H490" s="127"/>
      <c r="I490" s="127"/>
      <c r="J490" s="127"/>
      <c r="AZ490" s="108"/>
    </row>
    <row r="491" spans="1:52" s="107" customFormat="1" x14ac:dyDescent="0.3">
      <c r="A491" s="108"/>
      <c r="E491" s="127"/>
      <c r="F491" s="127"/>
      <c r="G491" s="127"/>
      <c r="H491" s="127"/>
      <c r="I491" s="127"/>
      <c r="J491" s="127"/>
      <c r="AZ491" s="108"/>
    </row>
    <row r="492" spans="1:52" s="107" customFormat="1" x14ac:dyDescent="0.3">
      <c r="A492" s="108"/>
      <c r="E492" s="127"/>
      <c r="F492" s="127"/>
      <c r="G492" s="127"/>
      <c r="H492" s="127"/>
      <c r="I492" s="127"/>
      <c r="J492" s="127"/>
      <c r="AZ492" s="108"/>
    </row>
    <row r="493" spans="1:52" s="107" customFormat="1" x14ac:dyDescent="0.3">
      <c r="A493" s="108"/>
      <c r="E493" s="127"/>
      <c r="F493" s="127"/>
      <c r="G493" s="127"/>
      <c r="H493" s="127"/>
      <c r="I493" s="127"/>
      <c r="J493" s="127"/>
      <c r="AZ493" s="108"/>
    </row>
  </sheetData>
  <mergeCells count="17">
    <mergeCell ref="B25:D25"/>
    <mergeCell ref="B28:D28"/>
    <mergeCell ref="B33:D33"/>
    <mergeCell ref="B18:D18"/>
    <mergeCell ref="A1:AR1"/>
    <mergeCell ref="A2:AR2"/>
    <mergeCell ref="K3:Q3"/>
    <mergeCell ref="B4:C4"/>
    <mergeCell ref="B3:D3"/>
    <mergeCell ref="AF3:AN3"/>
    <mergeCell ref="F3:F5"/>
    <mergeCell ref="G3:G5"/>
    <mergeCell ref="H3:H5"/>
    <mergeCell ref="I3:I5"/>
    <mergeCell ref="AQ3:AZ3"/>
    <mergeCell ref="J3:J5"/>
    <mergeCell ref="K4:AE4"/>
  </mergeCells>
  <pageMargins left="0.25" right="0.25" top="0.5" bottom="0.5" header="0.3" footer="0.3"/>
  <pageSetup paperSize="128" scale="91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Const Adj</vt:lpstr>
      <vt:lpstr>Free Adj</vt:lpstr>
      <vt:lpstr>'Free Adj'!Print_Area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Perigny, Matthew T</cp:lastModifiedBy>
  <cp:lastPrinted>2022-08-04T19:36:52Z</cp:lastPrinted>
  <dcterms:created xsi:type="dcterms:W3CDTF">2014-07-10T16:04:01Z</dcterms:created>
  <dcterms:modified xsi:type="dcterms:W3CDTF">2022-08-04T19:40:15Z</dcterms:modified>
</cp:coreProperties>
</file>