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31204 Subsidence Survey\SW\"/>
    </mc:Choice>
  </mc:AlternateContent>
  <xr:revisionPtr revIDLastSave="0" documentId="13_ncr:1_{96C95B83-2714-47CE-826D-F1E694777CBB}" xr6:coauthVersionLast="47" xr6:coauthVersionMax="47" xr10:uidLastSave="{00000000-0000-0000-0000-000000000000}"/>
  <bookViews>
    <workbookView xWindow="25080" yWindow="-120" windowWidth="25440" windowHeight="1539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Adj'!$A$1:$BC$83</definedName>
    <definedName name="_xlnm.Print_Area" localSheetId="1">'Free Adj'!$A$1:$BG$98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2" i="1" l="1"/>
  <c r="AI73" i="1"/>
  <c r="AI35" i="1"/>
  <c r="AI36" i="1"/>
  <c r="AI37" i="1"/>
  <c r="AI38" i="1"/>
  <c r="AV38" i="1" s="1"/>
  <c r="AI39" i="1"/>
  <c r="AV39" i="1" s="1"/>
  <c r="AI40" i="1"/>
  <c r="AV40" i="1" s="1"/>
  <c r="AI41" i="1"/>
  <c r="AV41" i="1" s="1"/>
  <c r="AI42" i="1"/>
  <c r="AI43" i="1"/>
  <c r="AI44" i="1"/>
  <c r="AI45" i="1"/>
  <c r="AI46" i="1"/>
  <c r="AI47" i="1"/>
  <c r="AV47" i="1" s="1"/>
  <c r="AI48" i="1"/>
  <c r="AV48" i="1" s="1"/>
  <c r="AI49" i="1"/>
  <c r="AI50" i="1"/>
  <c r="AI51" i="1"/>
  <c r="AI52" i="1"/>
  <c r="AI53" i="1"/>
  <c r="AI54" i="1"/>
  <c r="AV54" i="1" s="1"/>
  <c r="AI55" i="1"/>
  <c r="AV55" i="1" s="1"/>
  <c r="AI56" i="1"/>
  <c r="AV56" i="1" s="1"/>
  <c r="AI57" i="1"/>
  <c r="AV57" i="1" s="1"/>
  <c r="AI58" i="1"/>
  <c r="AI59" i="1"/>
  <c r="AV59" i="1" s="1"/>
  <c r="AI60" i="1"/>
  <c r="AI61" i="1"/>
  <c r="AI62" i="1"/>
  <c r="AI63" i="1"/>
  <c r="AI64" i="1"/>
  <c r="AV64" i="1" s="1"/>
  <c r="AI65" i="1"/>
  <c r="AI66" i="1"/>
  <c r="AV66" i="1" s="1"/>
  <c r="AI67" i="1"/>
  <c r="AI68" i="1"/>
  <c r="AI69" i="1"/>
  <c r="AI70" i="1"/>
  <c r="AI71" i="1"/>
  <c r="AV71" i="1" s="1"/>
  <c r="AI72" i="1"/>
  <c r="AV72" i="1" s="1"/>
  <c r="AV73" i="1"/>
  <c r="AI74" i="1"/>
  <c r="AI75" i="1"/>
  <c r="AI76" i="1"/>
  <c r="AI77" i="1"/>
  <c r="AI78" i="1"/>
  <c r="AI79" i="1"/>
  <c r="AI80" i="1"/>
  <c r="AV80" i="1" s="1"/>
  <c r="AI81" i="1"/>
  <c r="AI82" i="1"/>
  <c r="AV82" i="1" s="1"/>
  <c r="AI83" i="1"/>
  <c r="AI34" i="1"/>
  <c r="AV34" i="1" s="1"/>
  <c r="AI30" i="1"/>
  <c r="AV30" i="1" s="1"/>
  <c r="AI31" i="1"/>
  <c r="AI32" i="1"/>
  <c r="AI29" i="1"/>
  <c r="AV29" i="1" s="1"/>
  <c r="AI27" i="1"/>
  <c r="AI26" i="1"/>
  <c r="AV26" i="1" s="1"/>
  <c r="AI20" i="1"/>
  <c r="AV20" i="1" s="1"/>
  <c r="AI21" i="1"/>
  <c r="AV21" i="1" s="1"/>
  <c r="AI22" i="1"/>
  <c r="AV22" i="1" s="1"/>
  <c r="AI23" i="1"/>
  <c r="AV23" i="1" s="1"/>
  <c r="AI24" i="1"/>
  <c r="AV24" i="1" s="1"/>
  <c r="AI19" i="1"/>
  <c r="AV19" i="1" s="1"/>
  <c r="AI7" i="1"/>
  <c r="AI8" i="1"/>
  <c r="AI9" i="1"/>
  <c r="AI10" i="1"/>
  <c r="AI11" i="1"/>
  <c r="AI12" i="1"/>
  <c r="AI13" i="1"/>
  <c r="AI14" i="1"/>
  <c r="AI15" i="1"/>
  <c r="AV15" i="1" s="1"/>
  <c r="AI16" i="1"/>
  <c r="AI17" i="1"/>
  <c r="AI6" i="1"/>
  <c r="D61" i="1"/>
  <c r="D60" i="1"/>
  <c r="D59" i="1"/>
  <c r="D55" i="1"/>
  <c r="D51" i="1"/>
  <c r="AV61" i="1"/>
  <c r="AI61" i="3"/>
  <c r="AV61" i="3" s="1"/>
  <c r="AG61" i="3"/>
  <c r="AI60" i="3"/>
  <c r="AG60" i="3"/>
  <c r="AI59" i="3"/>
  <c r="AG59" i="3"/>
  <c r="AI55" i="3"/>
  <c r="AG55" i="3"/>
  <c r="AI51" i="3"/>
  <c r="AG51" i="3"/>
  <c r="AG61" i="1"/>
  <c r="AG60" i="1"/>
  <c r="AG59" i="1"/>
  <c r="AU6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9" i="3"/>
  <c r="AV20" i="3"/>
  <c r="AV21" i="3"/>
  <c r="AV22" i="3"/>
  <c r="AV23" i="3"/>
  <c r="AV24" i="3"/>
  <c r="AV26" i="3"/>
  <c r="AV27" i="3"/>
  <c r="AV29" i="3"/>
  <c r="AV30" i="3"/>
  <c r="AV31" i="3"/>
  <c r="AV32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U13" i="3"/>
  <c r="AU7" i="3"/>
  <c r="AU8" i="3"/>
  <c r="AU9" i="3"/>
  <c r="AU10" i="3"/>
  <c r="AU11" i="3"/>
  <c r="AU12" i="3"/>
  <c r="AU14" i="3"/>
  <c r="AU15" i="3"/>
  <c r="AU16" i="3"/>
  <c r="AU17" i="3"/>
  <c r="AU19" i="3"/>
  <c r="AU20" i="3"/>
  <c r="AU21" i="3"/>
  <c r="AU22" i="3"/>
  <c r="AU23" i="3"/>
  <c r="AU24" i="3"/>
  <c r="AU26" i="3"/>
  <c r="AU27" i="3"/>
  <c r="AU29" i="3"/>
  <c r="AU30" i="3"/>
  <c r="AU31" i="3"/>
  <c r="AU32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V16" i="1"/>
  <c r="AV17" i="1"/>
  <c r="AV27" i="1"/>
  <c r="AV31" i="1"/>
  <c r="AV32" i="1"/>
  <c r="AV35" i="1"/>
  <c r="AV36" i="1"/>
  <c r="AV37" i="1"/>
  <c r="AV42" i="1"/>
  <c r="AV43" i="1"/>
  <c r="AV44" i="1"/>
  <c r="AV45" i="1"/>
  <c r="AV46" i="1"/>
  <c r="AV49" i="1"/>
  <c r="AV50" i="1"/>
  <c r="AV51" i="1"/>
  <c r="AV53" i="1"/>
  <c r="AV58" i="1"/>
  <c r="AV60" i="1"/>
  <c r="AV62" i="1"/>
  <c r="AV63" i="1"/>
  <c r="AV65" i="1"/>
  <c r="AV67" i="1"/>
  <c r="AV68" i="1"/>
  <c r="AV69" i="1"/>
  <c r="AV70" i="1"/>
  <c r="AV74" i="1"/>
  <c r="AV75" i="1"/>
  <c r="AV76" i="1"/>
  <c r="AV77" i="1"/>
  <c r="AV78" i="1"/>
  <c r="AV79" i="1"/>
  <c r="AV81" i="1"/>
  <c r="AV83" i="1"/>
  <c r="AU38" i="1"/>
  <c r="AU61" i="3" l="1"/>
  <c r="AV7" i="1"/>
  <c r="AV8" i="1"/>
  <c r="AV9" i="1"/>
  <c r="AV10" i="1"/>
  <c r="AV11" i="1"/>
  <c r="AV12" i="1"/>
  <c r="AV13" i="1"/>
  <c r="AV14" i="1"/>
  <c r="AV6" i="1"/>
  <c r="AT17" i="1"/>
  <c r="AU7" i="1"/>
  <c r="AU8" i="1"/>
  <c r="AU9" i="1"/>
  <c r="AU10" i="1"/>
  <c r="AU11" i="1"/>
  <c r="AU12" i="1"/>
  <c r="AU13" i="1"/>
  <c r="AU14" i="1"/>
  <c r="AU15" i="1"/>
  <c r="AU16" i="1"/>
  <c r="AU17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4" i="1"/>
  <c r="AU35" i="1"/>
  <c r="AU36" i="1"/>
  <c r="AU37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2" i="1"/>
  <c r="AU53" i="1"/>
  <c r="AU54" i="1"/>
  <c r="AU56" i="1"/>
  <c r="AU57" i="1"/>
  <c r="AU58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6" i="1"/>
  <c r="D61" i="3"/>
  <c r="D60" i="3"/>
  <c r="D59" i="3"/>
  <c r="D55" i="3"/>
  <c r="D51" i="3"/>
  <c r="AT6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2" i="1"/>
  <c r="AT53" i="1"/>
  <c r="AT54" i="1"/>
  <c r="AT56" i="1"/>
  <c r="AT57" i="1"/>
  <c r="AT58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34" i="1"/>
  <c r="AT30" i="1"/>
  <c r="AT31" i="1"/>
  <c r="AT32" i="1"/>
  <c r="AT29" i="1"/>
  <c r="AT27" i="1"/>
  <c r="AT26" i="1"/>
  <c r="AT20" i="1"/>
  <c r="AT21" i="1"/>
  <c r="AT22" i="1"/>
  <c r="AT23" i="1"/>
  <c r="AT24" i="1"/>
  <c r="AT19" i="1"/>
  <c r="AT7" i="1"/>
  <c r="AT8" i="1"/>
  <c r="AT9" i="1"/>
  <c r="AT10" i="1"/>
  <c r="AT11" i="1"/>
  <c r="AT12" i="1"/>
  <c r="AT13" i="1"/>
  <c r="AT14" i="1"/>
  <c r="AT15" i="1"/>
  <c r="AT16" i="1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2" i="3"/>
  <c r="AT53" i="3"/>
  <c r="AT54" i="3"/>
  <c r="AT56" i="3"/>
  <c r="AT57" i="3"/>
  <c r="AT58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34" i="3"/>
  <c r="AT30" i="3"/>
  <c r="AT31" i="3"/>
  <c r="AT32" i="3"/>
  <c r="AT29" i="3"/>
  <c r="AT27" i="3"/>
  <c r="AT26" i="3"/>
  <c r="AT20" i="3"/>
  <c r="AT21" i="3"/>
  <c r="AT22" i="3"/>
  <c r="AT23" i="3"/>
  <c r="AT24" i="3"/>
  <c r="AT19" i="3"/>
  <c r="AT7" i="3"/>
  <c r="AT8" i="3"/>
  <c r="AT9" i="3"/>
  <c r="AT10" i="3"/>
  <c r="AT11" i="3"/>
  <c r="AT12" i="3"/>
  <c r="AT13" i="3"/>
  <c r="AT14" i="3"/>
  <c r="AT15" i="3"/>
  <c r="AT16" i="3"/>
  <c r="AT17" i="3"/>
  <c r="AT6" i="3"/>
  <c r="BH6" i="3"/>
  <c r="BH63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2" i="1"/>
  <c r="BG31" i="1"/>
  <c r="BG30" i="1"/>
  <c r="BG29" i="1"/>
  <c r="BG27" i="1"/>
  <c r="BG26" i="1"/>
  <c r="BG24" i="1"/>
  <c r="BG23" i="1"/>
  <c r="BG22" i="1"/>
  <c r="BG21" i="1"/>
  <c r="BG20" i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AH61" i="3"/>
  <c r="AH60" i="3"/>
  <c r="AH59" i="3"/>
  <c r="AH55" i="3"/>
  <c r="AH51" i="3"/>
  <c r="BH51" i="3" s="1"/>
  <c r="BG8" i="3"/>
  <c r="BG7" i="3"/>
  <c r="BG6" i="3"/>
  <c r="BG83" i="3"/>
  <c r="BG82" i="3"/>
  <c r="BG81" i="3"/>
  <c r="BG80" i="3"/>
  <c r="BG79" i="3"/>
  <c r="BG78" i="3"/>
  <c r="BG77" i="3"/>
  <c r="BG76" i="3"/>
  <c r="BG75" i="3"/>
  <c r="BG74" i="3"/>
  <c r="BG73" i="3"/>
  <c r="BG72" i="3"/>
  <c r="BG71" i="3"/>
  <c r="BG70" i="3"/>
  <c r="BG69" i="3"/>
  <c r="BG68" i="3"/>
  <c r="BG67" i="3"/>
  <c r="BG66" i="3"/>
  <c r="BG65" i="3"/>
  <c r="BG64" i="3"/>
  <c r="BG63" i="3"/>
  <c r="BG62" i="3"/>
  <c r="BG58" i="3"/>
  <c r="BG57" i="3"/>
  <c r="BG56" i="3"/>
  <c r="BG54" i="3"/>
  <c r="BG53" i="3"/>
  <c r="BG52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2" i="3"/>
  <c r="BG31" i="3"/>
  <c r="BG30" i="3"/>
  <c r="BG29" i="3"/>
  <c r="BG27" i="3"/>
  <c r="BG26" i="3"/>
  <c r="BG24" i="3"/>
  <c r="BG23" i="3"/>
  <c r="BG22" i="3"/>
  <c r="BG21" i="3"/>
  <c r="BG20" i="3"/>
  <c r="BG19" i="3"/>
  <c r="BG17" i="3"/>
  <c r="BG16" i="3"/>
  <c r="BG15" i="3"/>
  <c r="BG14" i="3"/>
  <c r="BG13" i="3"/>
  <c r="BG12" i="3"/>
  <c r="BG11" i="3"/>
  <c r="BG10" i="3"/>
  <c r="BG9" i="3"/>
  <c r="BH83" i="3"/>
  <c r="BH82" i="3"/>
  <c r="BH81" i="3"/>
  <c r="BH80" i="3"/>
  <c r="BH79" i="3"/>
  <c r="BH78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2" i="3"/>
  <c r="BH58" i="3"/>
  <c r="BH57" i="3"/>
  <c r="BH56" i="3"/>
  <c r="BH54" i="3"/>
  <c r="BH53" i="3"/>
  <c r="BH52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2" i="3"/>
  <c r="BH31" i="3"/>
  <c r="BH30" i="3"/>
  <c r="BH29" i="3"/>
  <c r="BH27" i="3"/>
  <c r="BH26" i="3"/>
  <c r="BH24" i="3"/>
  <c r="BH23" i="3"/>
  <c r="BH22" i="3"/>
  <c r="BH21" i="3"/>
  <c r="BH20" i="3"/>
  <c r="BH19" i="3"/>
  <c r="BH17" i="3"/>
  <c r="BH16" i="3"/>
  <c r="BH15" i="3"/>
  <c r="BH14" i="3"/>
  <c r="BH13" i="3"/>
  <c r="BH12" i="3"/>
  <c r="BH11" i="3"/>
  <c r="BH10" i="3"/>
  <c r="BH9" i="3"/>
  <c r="BH8" i="3"/>
  <c r="BH7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2" i="3"/>
  <c r="BF58" i="3"/>
  <c r="BF57" i="3"/>
  <c r="BF56" i="3"/>
  <c r="BF54" i="3"/>
  <c r="BF53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6" i="3"/>
  <c r="BF24" i="3"/>
  <c r="BF23" i="3"/>
  <c r="BF22" i="3"/>
  <c r="BF21" i="3"/>
  <c r="BF20" i="3"/>
  <c r="BF19" i="3"/>
  <c r="BF17" i="3"/>
  <c r="BF16" i="3"/>
  <c r="BF15" i="3"/>
  <c r="BF14" i="3"/>
  <c r="BF13" i="3"/>
  <c r="BF12" i="3"/>
  <c r="BF11" i="3"/>
  <c r="BF10" i="3"/>
  <c r="BF9" i="3"/>
  <c r="BF8" i="3"/>
  <c r="BF7" i="3"/>
  <c r="BF6" i="3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2" i="1"/>
  <c r="BH31" i="1"/>
  <c r="BH30" i="1"/>
  <c r="BH29" i="1"/>
  <c r="BH27" i="1"/>
  <c r="BH26" i="1"/>
  <c r="BH24" i="1"/>
  <c r="BH23" i="1"/>
  <c r="BH22" i="1"/>
  <c r="BH21" i="1"/>
  <c r="BH20" i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2" i="1"/>
  <c r="BF58" i="1"/>
  <c r="BF57" i="1"/>
  <c r="BF56" i="1"/>
  <c r="BF54" i="1"/>
  <c r="BF53" i="1"/>
  <c r="BF52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6" i="1"/>
  <c r="BF24" i="1"/>
  <c r="BF23" i="1"/>
  <c r="BF22" i="1"/>
  <c r="BF21" i="1"/>
  <c r="BF20" i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E6" i="1"/>
  <c r="AG55" i="1"/>
  <c r="AG51" i="1"/>
  <c r="AJ18" i="3"/>
  <c r="AK18" i="3"/>
  <c r="AL18" i="3"/>
  <c r="AM18" i="3"/>
  <c r="AN18" i="3"/>
  <c r="AO18" i="3"/>
  <c r="AJ19" i="3"/>
  <c r="AK19" i="3"/>
  <c r="AL19" i="3"/>
  <c r="AM19" i="3"/>
  <c r="AN19" i="3"/>
  <c r="AO19" i="3"/>
  <c r="AJ20" i="3"/>
  <c r="AK20" i="3"/>
  <c r="AL20" i="3"/>
  <c r="AM20" i="3"/>
  <c r="AN20" i="3"/>
  <c r="AO20" i="3"/>
  <c r="AJ21" i="3"/>
  <c r="AK21" i="3"/>
  <c r="AL21" i="3"/>
  <c r="AM21" i="3"/>
  <c r="AN21" i="3"/>
  <c r="AO21" i="3"/>
  <c r="AJ22" i="3"/>
  <c r="AK22" i="3"/>
  <c r="AL22" i="3"/>
  <c r="AM22" i="3"/>
  <c r="AN22" i="3"/>
  <c r="AO22" i="3"/>
  <c r="AJ23" i="3"/>
  <c r="AK23" i="3"/>
  <c r="AL23" i="3"/>
  <c r="AM23" i="3"/>
  <c r="AN23" i="3"/>
  <c r="AO23" i="3"/>
  <c r="AJ24" i="3"/>
  <c r="AK24" i="3"/>
  <c r="AL24" i="3"/>
  <c r="AM24" i="3"/>
  <c r="AN24" i="3"/>
  <c r="AO24" i="3"/>
  <c r="AJ25" i="3"/>
  <c r="AK25" i="3"/>
  <c r="AL25" i="3"/>
  <c r="AM25" i="3"/>
  <c r="AN25" i="3"/>
  <c r="AO25" i="3"/>
  <c r="AK6" i="3"/>
  <c r="AL6" i="3"/>
  <c r="AM6" i="3"/>
  <c r="AN6" i="3"/>
  <c r="AO6" i="3"/>
  <c r="AP6" i="3"/>
  <c r="AQ6" i="3"/>
  <c r="AR6" i="3"/>
  <c r="AS6" i="3"/>
  <c r="AW6" i="3"/>
  <c r="AX6" i="3"/>
  <c r="AY6" i="3"/>
  <c r="AZ6" i="3"/>
  <c r="BA6" i="3"/>
  <c r="BB6" i="3"/>
  <c r="BC6" i="3"/>
  <c r="BD6" i="3"/>
  <c r="BE6" i="3"/>
  <c r="AD51" i="3"/>
  <c r="BD83" i="3"/>
  <c r="BD82" i="3"/>
  <c r="BD81" i="3"/>
  <c r="BD79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58" i="3"/>
  <c r="BD57" i="3"/>
  <c r="BD56" i="3"/>
  <c r="BD54" i="3"/>
  <c r="BD53" i="3"/>
  <c r="BD52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2" i="3"/>
  <c r="BD31" i="3"/>
  <c r="BD30" i="3"/>
  <c r="BD29" i="3"/>
  <c r="BD27" i="3"/>
  <c r="BD26" i="3"/>
  <c r="BD24" i="3"/>
  <c r="BD23" i="3"/>
  <c r="BD22" i="3"/>
  <c r="BD21" i="3"/>
  <c r="BD20" i="3"/>
  <c r="BD19" i="3"/>
  <c r="BD17" i="3"/>
  <c r="BD16" i="3"/>
  <c r="BD15" i="3"/>
  <c r="BD14" i="3"/>
  <c r="BD13" i="3"/>
  <c r="BD12" i="3"/>
  <c r="BD11" i="3"/>
  <c r="BD10" i="3"/>
  <c r="BD9" i="3"/>
  <c r="BD8" i="3"/>
  <c r="BD7" i="3"/>
  <c r="BE83" i="3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2" i="3"/>
  <c r="BE58" i="3"/>
  <c r="BE57" i="3"/>
  <c r="BE56" i="3"/>
  <c r="BE54" i="3"/>
  <c r="BE53" i="3"/>
  <c r="BE52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6" i="3"/>
  <c r="BE24" i="3"/>
  <c r="BE23" i="3"/>
  <c r="BE22" i="3"/>
  <c r="BE21" i="3"/>
  <c r="BE20" i="3"/>
  <c r="BE19" i="3"/>
  <c r="BE17" i="3"/>
  <c r="BE16" i="3"/>
  <c r="BE15" i="3"/>
  <c r="BE14" i="3"/>
  <c r="BE13" i="3"/>
  <c r="BE12" i="3"/>
  <c r="BE11" i="3"/>
  <c r="BE10" i="3"/>
  <c r="BE9" i="3"/>
  <c r="BE8" i="3"/>
  <c r="BE7" i="3"/>
  <c r="AF61" i="3"/>
  <c r="AF60" i="3"/>
  <c r="AF59" i="3"/>
  <c r="AF55" i="3"/>
  <c r="AF51" i="3"/>
  <c r="AS83" i="1"/>
  <c r="AS82" i="1"/>
  <c r="AS81" i="1"/>
  <c r="AS80" i="1"/>
  <c r="AS79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6" i="1"/>
  <c r="AS24" i="1"/>
  <c r="AS23" i="1"/>
  <c r="AS22" i="1"/>
  <c r="AS21" i="1"/>
  <c r="AS20" i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F61" i="1"/>
  <c r="BF61" i="1" s="1"/>
  <c r="AF60" i="1"/>
  <c r="BE60" i="1" s="1"/>
  <c r="AF59" i="1"/>
  <c r="BF59" i="1" s="1"/>
  <c r="AF55" i="1"/>
  <c r="BE55" i="1" s="1"/>
  <c r="AF51" i="1"/>
  <c r="BF51" i="1" s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2" i="1"/>
  <c r="BE58" i="1"/>
  <c r="BE57" i="1"/>
  <c r="BE56" i="1"/>
  <c r="BE54" i="1"/>
  <c r="BE53" i="1"/>
  <c r="BE52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2" i="1"/>
  <c r="BE31" i="1"/>
  <c r="BE30" i="1"/>
  <c r="BE29" i="1"/>
  <c r="BE27" i="1"/>
  <c r="BE26" i="1"/>
  <c r="BE24" i="1"/>
  <c r="BE23" i="1"/>
  <c r="BE22" i="1"/>
  <c r="BE21" i="1"/>
  <c r="BE20" i="1"/>
  <c r="BE19" i="1"/>
  <c r="BE17" i="1"/>
  <c r="BE16" i="1"/>
  <c r="BE15" i="1"/>
  <c r="BE14" i="1"/>
  <c r="BE13" i="1"/>
  <c r="BE12" i="1"/>
  <c r="BE11" i="1"/>
  <c r="BE10" i="1"/>
  <c r="BE9" i="1"/>
  <c r="BE8" i="1"/>
  <c r="BE7" i="1"/>
  <c r="AE61" i="1"/>
  <c r="AE60" i="1"/>
  <c r="AE59" i="1"/>
  <c r="AS59" i="1" s="1"/>
  <c r="AE55" i="1"/>
  <c r="AE51" i="1"/>
  <c r="AS83" i="3"/>
  <c r="AS82" i="3"/>
  <c r="AS81" i="3"/>
  <c r="AS80" i="3"/>
  <c r="AS79" i="3"/>
  <c r="AS77" i="3"/>
  <c r="AS76" i="3"/>
  <c r="AS75" i="3"/>
  <c r="AS74" i="3"/>
  <c r="AS73" i="3"/>
  <c r="AS72" i="3"/>
  <c r="AS71" i="3"/>
  <c r="AS70" i="3"/>
  <c r="AS69" i="3"/>
  <c r="AS68" i="3"/>
  <c r="AS67" i="3"/>
  <c r="AS66" i="3"/>
  <c r="AS65" i="3"/>
  <c r="AS64" i="3"/>
  <c r="AS62" i="3"/>
  <c r="AS58" i="3"/>
  <c r="AS57" i="3"/>
  <c r="AS56" i="3"/>
  <c r="AS54" i="3"/>
  <c r="AS53" i="3"/>
  <c r="AS52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2" i="3"/>
  <c r="AS31" i="3"/>
  <c r="AS30" i="3"/>
  <c r="AS29" i="3"/>
  <c r="AS27" i="3"/>
  <c r="AS26" i="3"/>
  <c r="AS24" i="3"/>
  <c r="AS23" i="3"/>
  <c r="AS22" i="3"/>
  <c r="AS21" i="3"/>
  <c r="AS20" i="3"/>
  <c r="AS19" i="3"/>
  <c r="AE61" i="3"/>
  <c r="AD61" i="3"/>
  <c r="AD60" i="3"/>
  <c r="AE60" i="3"/>
  <c r="AE59" i="3"/>
  <c r="AS59" i="3" s="1"/>
  <c r="AD59" i="3"/>
  <c r="AD55" i="3"/>
  <c r="AE55" i="3"/>
  <c r="AS55" i="3" s="1"/>
  <c r="AE51" i="3"/>
  <c r="AS51" i="3" s="1"/>
  <c r="AT59" i="3" l="1"/>
  <c r="AT55" i="3"/>
  <c r="AU55" i="1"/>
  <c r="AU51" i="1"/>
  <c r="AU61" i="1"/>
  <c r="AU60" i="1"/>
  <c r="AU59" i="1"/>
  <c r="BE61" i="1"/>
  <c r="AT55" i="1"/>
  <c r="AT59" i="1"/>
  <c r="AT60" i="1"/>
  <c r="AT61" i="1"/>
  <c r="AT51" i="1"/>
  <c r="AT51" i="3"/>
  <c r="AT61" i="3"/>
  <c r="AT60" i="3"/>
  <c r="BF59" i="3"/>
  <c r="BF61" i="3"/>
  <c r="BE59" i="3"/>
  <c r="BF51" i="3"/>
  <c r="BG59" i="3"/>
  <c r="BF60" i="3"/>
  <c r="BG55" i="3"/>
  <c r="BG51" i="3"/>
  <c r="BG60" i="3"/>
  <c r="BG61" i="3"/>
  <c r="BH61" i="3"/>
  <c r="BF55" i="1"/>
  <c r="BF60" i="1"/>
  <c r="BH60" i="3"/>
  <c r="BH59" i="3"/>
  <c r="BF55" i="3"/>
  <c r="BH55" i="3"/>
  <c r="BE51" i="1"/>
  <c r="BE61" i="3"/>
  <c r="BE55" i="3"/>
  <c r="BE51" i="3"/>
  <c r="BE60" i="3"/>
  <c r="BE59" i="1"/>
  <c r="AS60" i="1"/>
  <c r="AS61" i="1"/>
  <c r="AS51" i="1"/>
  <c r="AS55" i="1"/>
  <c r="AS60" i="3"/>
  <c r="AS61" i="3"/>
  <c r="AS9" i="3"/>
  <c r="AS17" i="3"/>
  <c r="AS16" i="3"/>
  <c r="AS15" i="3"/>
  <c r="AS14" i="3"/>
  <c r="AS13" i="3"/>
  <c r="AS12" i="3"/>
  <c r="AS11" i="3"/>
  <c r="AS10" i="3"/>
  <c r="AS8" i="3"/>
  <c r="AS7" i="3"/>
  <c r="AK60" i="1"/>
  <c r="AK61" i="1"/>
  <c r="BD63" i="1" l="1"/>
  <c r="BD6" i="1" l="1"/>
  <c r="AK6" i="1" l="1"/>
  <c r="AL6" i="1"/>
  <c r="AM6" i="1"/>
  <c r="AN6" i="1"/>
  <c r="AO6" i="1"/>
  <c r="AP6" i="1"/>
  <c r="AQ6" i="1"/>
  <c r="AR6" i="1"/>
  <c r="AW6" i="1"/>
  <c r="AX6" i="1"/>
  <c r="AY6" i="1"/>
  <c r="AZ6" i="1"/>
  <c r="BA6" i="1"/>
  <c r="BB6" i="1"/>
  <c r="BC6" i="1"/>
  <c r="BD82" i="1" l="1"/>
  <c r="BD81" i="1"/>
  <c r="BD79" i="1"/>
  <c r="BD83" i="1"/>
  <c r="BD70" i="1"/>
  <c r="BD71" i="1"/>
  <c r="BD64" i="1"/>
  <c r="BD72" i="1"/>
  <c r="BD77" i="1"/>
  <c r="BD67" i="1"/>
  <c r="BD69" i="1"/>
  <c r="BD73" i="1"/>
  <c r="BD65" i="1"/>
  <c r="BD74" i="1"/>
  <c r="BD76" i="1"/>
  <c r="BD66" i="1"/>
  <c r="BD68" i="1"/>
  <c r="BD75" i="1"/>
  <c r="BD62" i="1"/>
  <c r="BD52" i="1"/>
  <c r="BD58" i="1"/>
  <c r="BD53" i="1"/>
  <c r="BD54" i="1"/>
  <c r="BD56" i="1"/>
  <c r="BD57" i="1"/>
  <c r="BD49" i="1"/>
  <c r="BD47" i="1"/>
  <c r="BD46" i="1"/>
  <c r="BD45" i="1"/>
  <c r="BD50" i="1"/>
  <c r="BD48" i="1"/>
  <c r="BD44" i="1"/>
  <c r="BD42" i="1"/>
  <c r="BD40" i="1"/>
  <c r="BD43" i="1"/>
  <c r="BD41" i="1"/>
  <c r="BD37" i="1"/>
  <c r="BD36" i="1"/>
  <c r="BD34" i="1"/>
  <c r="BD35" i="1"/>
  <c r="BD29" i="1"/>
  <c r="BD30" i="1"/>
  <c r="BD32" i="1"/>
  <c r="BD31" i="1"/>
  <c r="BD26" i="1"/>
  <c r="BD27" i="1"/>
  <c r="BD22" i="1"/>
  <c r="BD23" i="1"/>
  <c r="BD24" i="1"/>
  <c r="BD20" i="1"/>
  <c r="BD19" i="1"/>
  <c r="BD14" i="1"/>
  <c r="BD17" i="1"/>
  <c r="BD9" i="1"/>
  <c r="BD12" i="1"/>
  <c r="BD15" i="1"/>
  <c r="BD10" i="1"/>
  <c r="BD13" i="1"/>
  <c r="BD16" i="1"/>
  <c r="BD7" i="1"/>
  <c r="BD8" i="1"/>
  <c r="BD11" i="1"/>
  <c r="BD38" i="1"/>
  <c r="BD21" i="1"/>
  <c r="BD39" i="1"/>
  <c r="AB55" i="3" l="1"/>
  <c r="AR26" i="3"/>
  <c r="AR11" i="3"/>
  <c r="AR10" i="3"/>
  <c r="AR7" i="3"/>
  <c r="AR26" i="1" l="1"/>
  <c r="AR10" i="1"/>
  <c r="AR11" i="1"/>
  <c r="AB59" i="1" l="1"/>
  <c r="AR59" i="1" s="1"/>
  <c r="AR83" i="3" l="1"/>
  <c r="AR81" i="3"/>
  <c r="AR79" i="3"/>
  <c r="AR75" i="3"/>
  <c r="AR80" i="3"/>
  <c r="AR77" i="3"/>
  <c r="AR76" i="3"/>
  <c r="AR73" i="3"/>
  <c r="AR72" i="3"/>
  <c r="AR71" i="3"/>
  <c r="AR70" i="3"/>
  <c r="AR69" i="3"/>
  <c r="AR68" i="3"/>
  <c r="AR67" i="3"/>
  <c r="AR66" i="3"/>
  <c r="AR65" i="3"/>
  <c r="AR64" i="3"/>
  <c r="AR62" i="3"/>
  <c r="AR58" i="3"/>
  <c r="AR57" i="3"/>
  <c r="AR56" i="3"/>
  <c r="AR55" i="3"/>
  <c r="AR54" i="3"/>
  <c r="AR53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24" i="3"/>
  <c r="AR23" i="3"/>
  <c r="AR22" i="3"/>
  <c r="AR21" i="3"/>
  <c r="AR20" i="3"/>
  <c r="AR19" i="3"/>
  <c r="AR17" i="3"/>
  <c r="AR16" i="3"/>
  <c r="AR15" i="3"/>
  <c r="AR14" i="3"/>
  <c r="AR13" i="3"/>
  <c r="AR12" i="3"/>
  <c r="AR8" i="3"/>
  <c r="AR83" i="1" l="1"/>
  <c r="AR81" i="1"/>
  <c r="AR80" i="1"/>
  <c r="AR79" i="1"/>
  <c r="AR77" i="1"/>
  <c r="AR76" i="1"/>
  <c r="AR75" i="1"/>
  <c r="AR73" i="1"/>
  <c r="AR72" i="1"/>
  <c r="AR71" i="1"/>
  <c r="AR70" i="1"/>
  <c r="AR69" i="1"/>
  <c r="AR68" i="1"/>
  <c r="AR67" i="1"/>
  <c r="AR66" i="1"/>
  <c r="AR65" i="1"/>
  <c r="AR64" i="1"/>
  <c r="AR62" i="1"/>
  <c r="AR58" i="1"/>
  <c r="AR57" i="1"/>
  <c r="AR56" i="1"/>
  <c r="AR54" i="1"/>
  <c r="AR53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4" i="1"/>
  <c r="AR23" i="1"/>
  <c r="AR22" i="1"/>
  <c r="AR21" i="1"/>
  <c r="AR20" i="1"/>
  <c r="AR19" i="1"/>
  <c r="AR17" i="1"/>
  <c r="AR16" i="1"/>
  <c r="AR15" i="1"/>
  <c r="AR14" i="1"/>
  <c r="AR13" i="1"/>
  <c r="AR12" i="1"/>
  <c r="AR8" i="1"/>
  <c r="AR7" i="1"/>
  <c r="AQ83" i="3" l="1"/>
  <c r="AQ81" i="3"/>
  <c r="AQ80" i="3"/>
  <c r="AQ79" i="3"/>
  <c r="AQ77" i="3"/>
  <c r="AQ76" i="3"/>
  <c r="AQ75" i="3"/>
  <c r="AQ73" i="3"/>
  <c r="AQ72" i="3"/>
  <c r="AQ71" i="3"/>
  <c r="AQ70" i="3"/>
  <c r="AQ69" i="3"/>
  <c r="AQ68" i="3"/>
  <c r="AQ67" i="3"/>
  <c r="AQ66" i="3"/>
  <c r="AQ65" i="3"/>
  <c r="AQ64" i="3"/>
  <c r="AQ62" i="3"/>
  <c r="AQ58" i="3"/>
  <c r="AQ57" i="3"/>
  <c r="AQ56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26" i="3"/>
  <c r="AQ24" i="3"/>
  <c r="AQ23" i="3"/>
  <c r="AQ22" i="3"/>
  <c r="AQ21" i="3"/>
  <c r="AQ20" i="3"/>
  <c r="AQ19" i="3"/>
  <c r="AQ17" i="3"/>
  <c r="AQ16" i="3"/>
  <c r="AQ15" i="3"/>
  <c r="AQ14" i="3"/>
  <c r="AQ13" i="3"/>
  <c r="AQ12" i="3"/>
  <c r="AQ11" i="3"/>
  <c r="AQ10" i="3"/>
  <c r="AQ8" i="3"/>
  <c r="AQ7" i="3"/>
  <c r="AB61" i="3" l="1"/>
  <c r="AR61" i="3" s="1"/>
  <c r="AB60" i="3"/>
  <c r="AR60" i="3" s="1"/>
  <c r="AB59" i="3"/>
  <c r="AR59" i="3" s="1"/>
  <c r="AB51" i="3"/>
  <c r="AR51" i="3" s="1"/>
  <c r="AQ80" i="1"/>
  <c r="AB61" i="1"/>
  <c r="AR61" i="1" s="1"/>
  <c r="AB60" i="1"/>
  <c r="AR60" i="1" s="1"/>
  <c r="AB55" i="1"/>
  <c r="AR55" i="1" s="1"/>
  <c r="AB51" i="1"/>
  <c r="AR51" i="1" s="1"/>
  <c r="AA51" i="1"/>
  <c r="BD51" i="1" s="1"/>
  <c r="AQ83" i="1"/>
  <c r="AQ81" i="1"/>
  <c r="AQ79" i="1"/>
  <c r="AQ77" i="1"/>
  <c r="AQ76" i="1"/>
  <c r="AQ75" i="1"/>
  <c r="AQ73" i="1"/>
  <c r="AQ72" i="1"/>
  <c r="AQ71" i="1"/>
  <c r="AQ70" i="1"/>
  <c r="AQ69" i="1"/>
  <c r="AQ68" i="1"/>
  <c r="AQ67" i="1"/>
  <c r="AQ66" i="1"/>
  <c r="AQ65" i="1"/>
  <c r="AQ64" i="1"/>
  <c r="AQ62" i="1"/>
  <c r="AQ58" i="1"/>
  <c r="AQ57" i="1"/>
  <c r="AQ56" i="1"/>
  <c r="AQ54" i="1"/>
  <c r="AQ53" i="1"/>
  <c r="AQ52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2" i="1"/>
  <c r="AQ31" i="1"/>
  <c r="AQ30" i="1"/>
  <c r="AQ29" i="1"/>
  <c r="AQ27" i="1"/>
  <c r="AQ26" i="1"/>
  <c r="AQ24" i="1"/>
  <c r="AQ23" i="1"/>
  <c r="AQ22" i="1"/>
  <c r="AQ21" i="1"/>
  <c r="AQ20" i="1"/>
  <c r="AQ19" i="1"/>
  <c r="AQ17" i="1"/>
  <c r="AQ16" i="1"/>
  <c r="AQ15" i="1"/>
  <c r="AQ14" i="1"/>
  <c r="AQ13" i="1"/>
  <c r="AQ12" i="1"/>
  <c r="AQ11" i="1"/>
  <c r="AQ10" i="1"/>
  <c r="AQ8" i="1"/>
  <c r="AQ7" i="1"/>
  <c r="AA80" i="3" l="1"/>
  <c r="BD80" i="3" s="1"/>
  <c r="AA80" i="1"/>
  <c r="BD80" i="1" s="1"/>
  <c r="BC80" i="1" l="1"/>
  <c r="BC83" i="3"/>
  <c r="BC82" i="3"/>
  <c r="BC81" i="3"/>
  <c r="BC80" i="3"/>
  <c r="BC79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58" i="3"/>
  <c r="BC57" i="3"/>
  <c r="BC56" i="3"/>
  <c r="BC54" i="3"/>
  <c r="BC53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2" i="3"/>
  <c r="BC31" i="3"/>
  <c r="BC30" i="3"/>
  <c r="BC29" i="3"/>
  <c r="BC27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83" i="1"/>
  <c r="BC82" i="1"/>
  <c r="BC81" i="1"/>
  <c r="BC79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58" i="1"/>
  <c r="BC57" i="1"/>
  <c r="BC56" i="1"/>
  <c r="BC54" i="1"/>
  <c r="BC53" i="1"/>
  <c r="BC52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2" i="1"/>
  <c r="BC31" i="1"/>
  <c r="BC30" i="1"/>
  <c r="BC29" i="1"/>
  <c r="BC27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AA51" i="3" l="1"/>
  <c r="BD51" i="3" s="1"/>
  <c r="AA61" i="3"/>
  <c r="BD61" i="3" s="1"/>
  <c r="AA60" i="3"/>
  <c r="BD60" i="3" s="1"/>
  <c r="AA59" i="3"/>
  <c r="BD59" i="3" s="1"/>
  <c r="AA55" i="3"/>
  <c r="BD55" i="3" s="1"/>
  <c r="AA61" i="1"/>
  <c r="BD61" i="1" s="1"/>
  <c r="AA60" i="1"/>
  <c r="BD60" i="1" s="1"/>
  <c r="AA59" i="1"/>
  <c r="BD59" i="1" s="1"/>
  <c r="AA55" i="1"/>
  <c r="BD55" i="1" s="1"/>
  <c r="BC55" i="1" l="1"/>
  <c r="BC55" i="3"/>
  <c r="AP83" i="1"/>
  <c r="AP82" i="1"/>
  <c r="AP81" i="1"/>
  <c r="AP80" i="1"/>
  <c r="AP79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2" i="1"/>
  <c r="AP58" i="1"/>
  <c r="AP57" i="1"/>
  <c r="AP56" i="1"/>
  <c r="AP54" i="1"/>
  <c r="AP53" i="1"/>
  <c r="AP52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2" i="1"/>
  <c r="AP31" i="1"/>
  <c r="AP30" i="1"/>
  <c r="AP29" i="1"/>
  <c r="AP27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27" i="3" l="1"/>
  <c r="AP29" i="3"/>
  <c r="AP30" i="3"/>
  <c r="AP31" i="3"/>
  <c r="AP32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2" i="3"/>
  <c r="AP53" i="3"/>
  <c r="AP54" i="3"/>
  <c r="AP56" i="3"/>
  <c r="AP57" i="3"/>
  <c r="AP58" i="3"/>
  <c r="AP62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9" i="3"/>
  <c r="AP80" i="3"/>
  <c r="AP81" i="3"/>
  <c r="AP82" i="3"/>
  <c r="AP83" i="3"/>
  <c r="Z61" i="3"/>
  <c r="AQ61" i="3" s="1"/>
  <c r="Z60" i="3"/>
  <c r="AQ60" i="3" s="1"/>
  <c r="Z59" i="3"/>
  <c r="AQ59" i="3" s="1"/>
  <c r="Z51" i="3"/>
  <c r="AQ51" i="3" s="1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Z55" i="3"/>
  <c r="Z55" i="1"/>
  <c r="BA25" i="1"/>
  <c r="AZ25" i="1"/>
  <c r="AY25" i="1"/>
  <c r="AX25" i="1"/>
  <c r="AW25" i="1"/>
  <c r="AO25" i="1"/>
  <c r="AN25" i="1"/>
  <c r="AM25" i="1"/>
  <c r="AL25" i="1"/>
  <c r="AK25" i="1"/>
  <c r="AJ25" i="1"/>
  <c r="BA25" i="3"/>
  <c r="AZ25" i="3"/>
  <c r="AY25" i="3"/>
  <c r="AX25" i="3"/>
  <c r="AW25" i="3"/>
  <c r="Z61" i="1"/>
  <c r="AQ61" i="1" s="1"/>
  <c r="Z60" i="1"/>
  <c r="AQ60" i="1" s="1"/>
  <c r="Z59" i="1"/>
  <c r="AQ59" i="1" s="1"/>
  <c r="Z51" i="1"/>
  <c r="AQ51" i="1" s="1"/>
  <c r="AQ55" i="1" l="1"/>
  <c r="AP55" i="3"/>
  <c r="AQ55" i="3"/>
  <c r="AP55" i="1"/>
  <c r="BB83" i="3"/>
  <c r="BB82" i="3"/>
  <c r="BB81" i="3"/>
  <c r="BB80" i="3"/>
  <c r="BB79" i="3"/>
  <c r="BB77" i="3"/>
  <c r="BB76" i="3"/>
  <c r="BB75" i="3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58" i="3"/>
  <c r="BB57" i="3"/>
  <c r="BB55" i="3"/>
  <c r="BB54" i="3"/>
  <c r="BB52" i="3"/>
  <c r="BB50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2" i="3"/>
  <c r="BB31" i="3"/>
  <c r="BB30" i="3"/>
  <c r="BB29" i="3"/>
  <c r="BB27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B7" i="3"/>
  <c r="Y61" i="3"/>
  <c r="BC61" i="3" s="1"/>
  <c r="Y60" i="3"/>
  <c r="BC60" i="3" s="1"/>
  <c r="Y59" i="3"/>
  <c r="BC59" i="3" s="1"/>
  <c r="Y51" i="3"/>
  <c r="BC51" i="3" s="1"/>
  <c r="Y61" i="1" l="1"/>
  <c r="BC61" i="1" s="1"/>
  <c r="Y60" i="1"/>
  <c r="BC60" i="1" s="1"/>
  <c r="Y59" i="1"/>
  <c r="BC59" i="1" s="1"/>
  <c r="Y51" i="1"/>
  <c r="BC51" i="1" s="1"/>
  <c r="X51" i="1"/>
  <c r="AP51" i="1" s="1"/>
  <c r="BB83" i="1"/>
  <c r="BB82" i="1"/>
  <c r="BB81" i="1"/>
  <c r="BB80" i="1"/>
  <c r="BB79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8" i="1"/>
  <c r="BB57" i="1"/>
  <c r="BB55" i="1"/>
  <c r="BB54" i="1"/>
  <c r="BB52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2" i="1"/>
  <c r="BB31" i="1"/>
  <c r="BB30" i="1"/>
  <c r="BB29" i="1"/>
  <c r="BB27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9" i="1"/>
  <c r="BB8" i="1"/>
  <c r="BB7" i="1"/>
  <c r="AK7" i="1"/>
  <c r="AL7" i="1"/>
  <c r="AM7" i="1"/>
  <c r="AN7" i="1"/>
  <c r="AO7" i="1"/>
  <c r="AW7" i="1"/>
  <c r="AX7" i="1"/>
  <c r="AY7" i="1"/>
  <c r="AZ7" i="1"/>
  <c r="BA7" i="1"/>
  <c r="AK8" i="1"/>
  <c r="AL8" i="1"/>
  <c r="AM8" i="1"/>
  <c r="AN8" i="1"/>
  <c r="AO8" i="1"/>
  <c r="AW8" i="1"/>
  <c r="AX8" i="1"/>
  <c r="AY8" i="1"/>
  <c r="AZ8" i="1"/>
  <c r="BA8" i="1"/>
  <c r="AJ9" i="1"/>
  <c r="AK9" i="1"/>
  <c r="AL9" i="1"/>
  <c r="AM9" i="1"/>
  <c r="AW9" i="1"/>
  <c r="AX9" i="1"/>
  <c r="AY9" i="1"/>
  <c r="AZ9" i="1"/>
  <c r="BA9" i="1"/>
  <c r="AL11" i="1"/>
  <c r="AM11" i="1"/>
  <c r="AN11" i="1"/>
  <c r="AO11" i="1"/>
  <c r="AY11" i="1"/>
  <c r="AZ11" i="1"/>
  <c r="BA11" i="1"/>
  <c r="AJ12" i="1"/>
  <c r="AK12" i="1"/>
  <c r="AL12" i="1"/>
  <c r="AM12" i="1"/>
  <c r="AN12" i="1"/>
  <c r="AO12" i="1"/>
  <c r="AW12" i="1"/>
  <c r="AX12" i="1"/>
  <c r="AY12" i="1"/>
  <c r="AZ12" i="1"/>
  <c r="BA12" i="1"/>
  <c r="AL13" i="1"/>
  <c r="AM13" i="1"/>
  <c r="AN13" i="1"/>
  <c r="AO13" i="1"/>
  <c r="AY13" i="1"/>
  <c r="AZ13" i="1"/>
  <c r="BA13" i="1"/>
  <c r="AJ14" i="1"/>
  <c r="AK14" i="1"/>
  <c r="AL14" i="1"/>
  <c r="AM14" i="1"/>
  <c r="AN14" i="1"/>
  <c r="AO14" i="1"/>
  <c r="AW14" i="1"/>
  <c r="AX14" i="1"/>
  <c r="AY14" i="1"/>
  <c r="AZ14" i="1"/>
  <c r="BA14" i="1"/>
  <c r="AJ15" i="1"/>
  <c r="AK15" i="1"/>
  <c r="AL15" i="1"/>
  <c r="AM15" i="1"/>
  <c r="AN15" i="1"/>
  <c r="AO15" i="1"/>
  <c r="AW15" i="1"/>
  <c r="AX15" i="1"/>
  <c r="AY15" i="1"/>
  <c r="AZ15" i="1"/>
  <c r="BA15" i="1"/>
  <c r="AJ16" i="1"/>
  <c r="AK16" i="1"/>
  <c r="AL16" i="1"/>
  <c r="AM16" i="1"/>
  <c r="AN16" i="1"/>
  <c r="AO16" i="1"/>
  <c r="AW16" i="1"/>
  <c r="AX16" i="1"/>
  <c r="AY16" i="1"/>
  <c r="AZ16" i="1"/>
  <c r="BA16" i="1"/>
  <c r="AJ17" i="1"/>
  <c r="AK17" i="1"/>
  <c r="AL17" i="1"/>
  <c r="AM17" i="1"/>
  <c r="AN17" i="1"/>
  <c r="AO17" i="1"/>
  <c r="AW17" i="1"/>
  <c r="AX17" i="1"/>
  <c r="AY17" i="1"/>
  <c r="AZ17" i="1"/>
  <c r="BA17" i="1"/>
  <c r="AJ18" i="1"/>
  <c r="AK18" i="1"/>
  <c r="AL18" i="1"/>
  <c r="AM18" i="1"/>
  <c r="AN18" i="1"/>
  <c r="AO18" i="1"/>
  <c r="AW18" i="1"/>
  <c r="AX18" i="1"/>
  <c r="AY18" i="1"/>
  <c r="AZ18" i="1"/>
  <c r="BA18" i="1"/>
  <c r="AJ19" i="1"/>
  <c r="AK19" i="1"/>
  <c r="AL19" i="1"/>
  <c r="AM19" i="1"/>
  <c r="AN19" i="1"/>
  <c r="AO19" i="1"/>
  <c r="AW19" i="1"/>
  <c r="AX19" i="1"/>
  <c r="AY19" i="1"/>
  <c r="AZ19" i="1"/>
  <c r="BA19" i="1"/>
  <c r="AJ20" i="1"/>
  <c r="AK20" i="1"/>
  <c r="AL20" i="1"/>
  <c r="AM20" i="1"/>
  <c r="AN20" i="1"/>
  <c r="AO20" i="1"/>
  <c r="AW20" i="1"/>
  <c r="AX20" i="1"/>
  <c r="AY20" i="1"/>
  <c r="AZ20" i="1"/>
  <c r="BA20" i="1"/>
  <c r="AJ21" i="1"/>
  <c r="AK21" i="1"/>
  <c r="AL21" i="1"/>
  <c r="AM21" i="1"/>
  <c r="AN21" i="1"/>
  <c r="AO21" i="1"/>
  <c r="AW21" i="1"/>
  <c r="AX21" i="1"/>
  <c r="AY21" i="1"/>
  <c r="AZ21" i="1"/>
  <c r="BA21" i="1"/>
  <c r="AJ22" i="1"/>
  <c r="AK22" i="1"/>
  <c r="AL22" i="1"/>
  <c r="AM22" i="1"/>
  <c r="AN22" i="1"/>
  <c r="AO22" i="1"/>
  <c r="AW22" i="1"/>
  <c r="AX22" i="1"/>
  <c r="AY22" i="1"/>
  <c r="AZ22" i="1"/>
  <c r="BA22" i="1"/>
  <c r="AJ23" i="1"/>
  <c r="AK23" i="1"/>
  <c r="AL23" i="1"/>
  <c r="AM23" i="1"/>
  <c r="AN23" i="1"/>
  <c r="AO23" i="1"/>
  <c r="AW23" i="1"/>
  <c r="AX23" i="1"/>
  <c r="AY23" i="1"/>
  <c r="AZ23" i="1"/>
  <c r="BA23" i="1"/>
  <c r="AJ24" i="1"/>
  <c r="AK24" i="1"/>
  <c r="AL24" i="1"/>
  <c r="AM24" i="1"/>
  <c r="AN24" i="1"/>
  <c r="AO24" i="1"/>
  <c r="AW24" i="1"/>
  <c r="AX24" i="1"/>
  <c r="AY24" i="1"/>
  <c r="AZ24" i="1"/>
  <c r="BA24" i="1"/>
  <c r="AJ27" i="1"/>
  <c r="AK27" i="1"/>
  <c r="AL27" i="1"/>
  <c r="AM27" i="1"/>
  <c r="AN27" i="1"/>
  <c r="AO27" i="1"/>
  <c r="AW27" i="1"/>
  <c r="AX27" i="1"/>
  <c r="AY27" i="1"/>
  <c r="AZ27" i="1"/>
  <c r="BA27" i="1"/>
  <c r="AJ28" i="1"/>
  <c r="AK28" i="1"/>
  <c r="AL28" i="1"/>
  <c r="AM28" i="1"/>
  <c r="AN28" i="1"/>
  <c r="AW28" i="1"/>
  <c r="AX28" i="1"/>
  <c r="AY28" i="1"/>
  <c r="AZ28" i="1"/>
  <c r="AJ29" i="1"/>
  <c r="AK29" i="1"/>
  <c r="AL29" i="1"/>
  <c r="AM29" i="1"/>
  <c r="AN29" i="1"/>
  <c r="AO29" i="1"/>
  <c r="AW29" i="1"/>
  <c r="AX29" i="1"/>
  <c r="AY29" i="1"/>
  <c r="AZ29" i="1"/>
  <c r="BA29" i="1"/>
  <c r="AJ30" i="1"/>
  <c r="AK30" i="1"/>
  <c r="AL30" i="1"/>
  <c r="AM30" i="1"/>
  <c r="AN30" i="1"/>
  <c r="AO30" i="1"/>
  <c r="AW30" i="1"/>
  <c r="AX30" i="1"/>
  <c r="AY30" i="1"/>
  <c r="AZ30" i="1"/>
  <c r="BA30" i="1"/>
  <c r="AJ31" i="1"/>
  <c r="AK31" i="1"/>
  <c r="AL31" i="1"/>
  <c r="AM31" i="1"/>
  <c r="AN31" i="1"/>
  <c r="AO31" i="1"/>
  <c r="AW31" i="1"/>
  <c r="AX31" i="1"/>
  <c r="AY31" i="1"/>
  <c r="AZ31" i="1"/>
  <c r="BA31" i="1"/>
  <c r="AJ32" i="1"/>
  <c r="AK32" i="1"/>
  <c r="AL32" i="1"/>
  <c r="AM32" i="1"/>
  <c r="AN32" i="1"/>
  <c r="AO32" i="1"/>
  <c r="AW32" i="1"/>
  <c r="AX32" i="1"/>
  <c r="AY32" i="1"/>
  <c r="AZ32" i="1"/>
  <c r="BA32" i="1"/>
  <c r="AJ33" i="1"/>
  <c r="AK33" i="1"/>
  <c r="AL33" i="1"/>
  <c r="AM33" i="1"/>
  <c r="AN33" i="1"/>
  <c r="AW33" i="1"/>
  <c r="AX33" i="1"/>
  <c r="AY33" i="1"/>
  <c r="AZ33" i="1"/>
  <c r="AJ34" i="1"/>
  <c r="AK34" i="1"/>
  <c r="AL34" i="1"/>
  <c r="AM34" i="1"/>
  <c r="AN34" i="1"/>
  <c r="AO34" i="1"/>
  <c r="AW34" i="1"/>
  <c r="AX34" i="1"/>
  <c r="AY34" i="1"/>
  <c r="AZ34" i="1"/>
  <c r="BA34" i="1"/>
  <c r="AJ35" i="1"/>
  <c r="AK35" i="1"/>
  <c r="AL35" i="1"/>
  <c r="AM35" i="1"/>
  <c r="AN35" i="1"/>
  <c r="AO35" i="1"/>
  <c r="AW35" i="1"/>
  <c r="AX35" i="1"/>
  <c r="AY35" i="1"/>
  <c r="AZ35" i="1"/>
  <c r="BA35" i="1"/>
  <c r="AL36" i="1"/>
  <c r="AM36" i="1"/>
  <c r="AN36" i="1"/>
  <c r="AO36" i="1"/>
  <c r="AY36" i="1"/>
  <c r="AZ36" i="1"/>
  <c r="BA36" i="1"/>
  <c r="AJ37" i="1"/>
  <c r="AK37" i="1"/>
  <c r="AL37" i="1"/>
  <c r="AM37" i="1"/>
  <c r="AN37" i="1"/>
  <c r="AO37" i="1"/>
  <c r="AW37" i="1"/>
  <c r="AX37" i="1"/>
  <c r="AY37" i="1"/>
  <c r="AZ37" i="1"/>
  <c r="BA37" i="1"/>
  <c r="AJ38" i="1"/>
  <c r="AK38" i="1"/>
  <c r="AL38" i="1"/>
  <c r="AM38" i="1"/>
  <c r="AN38" i="1"/>
  <c r="AO38" i="1"/>
  <c r="AW38" i="1"/>
  <c r="AX38" i="1"/>
  <c r="AY38" i="1"/>
  <c r="AZ38" i="1"/>
  <c r="BA38" i="1"/>
  <c r="AJ39" i="1"/>
  <c r="AK39" i="1"/>
  <c r="AL39" i="1"/>
  <c r="AM39" i="1"/>
  <c r="AN39" i="1"/>
  <c r="AO39" i="1"/>
  <c r="AW39" i="1"/>
  <c r="AX39" i="1"/>
  <c r="AY39" i="1"/>
  <c r="AZ39" i="1"/>
  <c r="BA39" i="1"/>
  <c r="AJ40" i="1"/>
  <c r="AK40" i="1"/>
  <c r="AL40" i="1"/>
  <c r="AM40" i="1"/>
  <c r="AN40" i="1"/>
  <c r="AO40" i="1"/>
  <c r="AW40" i="1"/>
  <c r="AX40" i="1"/>
  <c r="AY40" i="1"/>
  <c r="AZ40" i="1"/>
  <c r="BA40" i="1"/>
  <c r="AJ41" i="1"/>
  <c r="AK41" i="1"/>
  <c r="AL41" i="1"/>
  <c r="AM41" i="1"/>
  <c r="AN41" i="1"/>
  <c r="AO41" i="1"/>
  <c r="AW41" i="1"/>
  <c r="AX41" i="1"/>
  <c r="AY41" i="1"/>
  <c r="AZ41" i="1"/>
  <c r="BA41" i="1"/>
  <c r="AL42" i="1"/>
  <c r="AM42" i="1"/>
  <c r="AN42" i="1"/>
  <c r="AO42" i="1"/>
  <c r="AY42" i="1"/>
  <c r="AZ42" i="1"/>
  <c r="BA42" i="1"/>
  <c r="AJ43" i="1"/>
  <c r="AK43" i="1"/>
  <c r="AL43" i="1"/>
  <c r="AM43" i="1"/>
  <c r="AN43" i="1"/>
  <c r="AO43" i="1"/>
  <c r="AW43" i="1"/>
  <c r="AX43" i="1"/>
  <c r="AY43" i="1"/>
  <c r="AZ43" i="1"/>
  <c r="BA43" i="1"/>
  <c r="AJ44" i="1"/>
  <c r="AK44" i="1"/>
  <c r="AL44" i="1"/>
  <c r="AM44" i="1"/>
  <c r="AN44" i="1"/>
  <c r="AO44" i="1"/>
  <c r="AW44" i="1"/>
  <c r="AX44" i="1"/>
  <c r="AY44" i="1"/>
  <c r="AZ44" i="1"/>
  <c r="BA44" i="1"/>
  <c r="AJ45" i="1"/>
  <c r="AK45" i="1"/>
  <c r="AL45" i="1"/>
  <c r="AM45" i="1"/>
  <c r="AN45" i="1"/>
  <c r="AO45" i="1"/>
  <c r="AW45" i="1"/>
  <c r="AX45" i="1"/>
  <c r="AY45" i="1"/>
  <c r="AZ45" i="1"/>
  <c r="BA45" i="1"/>
  <c r="AJ46" i="1"/>
  <c r="AK46" i="1"/>
  <c r="AL46" i="1"/>
  <c r="AM46" i="1"/>
  <c r="AN46" i="1"/>
  <c r="AO46" i="1"/>
  <c r="AW46" i="1"/>
  <c r="AX46" i="1"/>
  <c r="AY46" i="1"/>
  <c r="AZ46" i="1"/>
  <c r="BA46" i="1"/>
  <c r="AJ47" i="1"/>
  <c r="AK47" i="1"/>
  <c r="AL47" i="1"/>
  <c r="AM47" i="1"/>
  <c r="AN47" i="1"/>
  <c r="AO47" i="1"/>
  <c r="AW47" i="1"/>
  <c r="AX47" i="1"/>
  <c r="AY47" i="1"/>
  <c r="AZ47" i="1"/>
  <c r="BA47" i="1"/>
  <c r="AJ48" i="1"/>
  <c r="AK48" i="1"/>
  <c r="AL48" i="1"/>
  <c r="AM48" i="1"/>
  <c r="AN48" i="1"/>
  <c r="AO48" i="1"/>
  <c r="AW48" i="1"/>
  <c r="AX48" i="1"/>
  <c r="AY48" i="1"/>
  <c r="AZ48" i="1"/>
  <c r="BA48" i="1"/>
  <c r="AJ49" i="1"/>
  <c r="AK49" i="1"/>
  <c r="AL49" i="1"/>
  <c r="AM49" i="1"/>
  <c r="AN49" i="1"/>
  <c r="AO49" i="1"/>
  <c r="AW49" i="1"/>
  <c r="AX49" i="1"/>
  <c r="AY49" i="1"/>
  <c r="AZ49" i="1"/>
  <c r="BA49" i="1"/>
  <c r="AJ50" i="1"/>
  <c r="AK50" i="1"/>
  <c r="AL50" i="1"/>
  <c r="AM50" i="1"/>
  <c r="AN50" i="1"/>
  <c r="AO50" i="1"/>
  <c r="AW50" i="1"/>
  <c r="AX50" i="1"/>
  <c r="AY50" i="1"/>
  <c r="AZ50" i="1"/>
  <c r="BA50" i="1"/>
  <c r="AO82" i="3" l="1"/>
  <c r="AO81" i="3"/>
  <c r="AO80" i="3"/>
  <c r="AO79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58" i="3"/>
  <c r="AO57" i="3"/>
  <c r="AO54" i="3"/>
  <c r="AO52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2" i="3"/>
  <c r="AO31" i="3"/>
  <c r="AO30" i="3"/>
  <c r="AO29" i="3"/>
  <c r="AO27" i="3"/>
  <c r="AO17" i="3"/>
  <c r="AO16" i="3"/>
  <c r="AO15" i="3"/>
  <c r="AO14" i="3"/>
  <c r="AO13" i="3"/>
  <c r="AO12" i="3"/>
  <c r="AO11" i="3"/>
  <c r="AO8" i="3"/>
  <c r="AO7" i="3"/>
  <c r="AO82" i="1" l="1"/>
  <c r="AO81" i="1"/>
  <c r="AO80" i="1"/>
  <c r="AO79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58" i="1"/>
  <c r="AO57" i="1"/>
  <c r="AO54" i="1"/>
  <c r="AO52" i="1"/>
  <c r="X61" i="3"/>
  <c r="AP61" i="3" s="1"/>
  <c r="X60" i="3"/>
  <c r="AP60" i="3" s="1"/>
  <c r="X59" i="3"/>
  <c r="AP59" i="3" s="1"/>
  <c r="X51" i="3"/>
  <c r="AP51" i="3" s="1"/>
  <c r="X61" i="1"/>
  <c r="AP61" i="1" s="1"/>
  <c r="X60" i="1"/>
  <c r="AP60" i="1" s="1"/>
  <c r="X59" i="1"/>
  <c r="AP59" i="1" s="1"/>
  <c r="BA16" i="3" l="1"/>
  <c r="BA83" i="1" l="1"/>
  <c r="BA82" i="1"/>
  <c r="BA81" i="1"/>
  <c r="BA80" i="1"/>
  <c r="BA79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58" i="1"/>
  <c r="BA57" i="1"/>
  <c r="BA54" i="1"/>
  <c r="BA52" i="1"/>
  <c r="W61" i="1"/>
  <c r="BB61" i="1" s="1"/>
  <c r="V61" i="1"/>
  <c r="AO61" i="1" s="1"/>
  <c r="W60" i="1"/>
  <c r="BB60" i="1" s="1"/>
  <c r="V60" i="1"/>
  <c r="AO60" i="1" s="1"/>
  <c r="W59" i="1"/>
  <c r="BB59" i="1" s="1"/>
  <c r="V59" i="1"/>
  <c r="AO59" i="1" s="1"/>
  <c r="W51" i="1"/>
  <c r="BB51" i="1" s="1"/>
  <c r="V51" i="1"/>
  <c r="AO51" i="1" s="1"/>
  <c r="W61" i="3"/>
  <c r="W60" i="3"/>
  <c r="W59" i="3"/>
  <c r="W51" i="3"/>
  <c r="BB51" i="3" l="1"/>
  <c r="BB59" i="3"/>
  <c r="BB60" i="3"/>
  <c r="BB61" i="3"/>
  <c r="BA61" i="1"/>
  <c r="BA59" i="1"/>
  <c r="BA60" i="1"/>
  <c r="BA51" i="1"/>
  <c r="V61" i="3"/>
  <c r="AO61" i="3" s="1"/>
  <c r="V60" i="3"/>
  <c r="AO60" i="3" s="1"/>
  <c r="V59" i="3"/>
  <c r="AO59" i="3" s="1"/>
  <c r="V51" i="3"/>
  <c r="AO51" i="3" s="1"/>
  <c r="BA83" i="3"/>
  <c r="BA82" i="3"/>
  <c r="BA81" i="3"/>
  <c r="BA80" i="3"/>
  <c r="BA79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4" i="3"/>
  <c r="BA52" i="3"/>
  <c r="BA51" i="3"/>
  <c r="BA50" i="3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2" i="3"/>
  <c r="BA31" i="3"/>
  <c r="BA30" i="3"/>
  <c r="BA29" i="3"/>
  <c r="BA27" i="3"/>
  <c r="BA24" i="3"/>
  <c r="BA23" i="3"/>
  <c r="BA22" i="3"/>
  <c r="BA21" i="3"/>
  <c r="BA20" i="3"/>
  <c r="BA19" i="3"/>
  <c r="BA18" i="3"/>
  <c r="BA17" i="3"/>
  <c r="BA15" i="3"/>
  <c r="BA14" i="3"/>
  <c r="BA13" i="3"/>
  <c r="BA12" i="3"/>
  <c r="BA11" i="3"/>
  <c r="BA9" i="3"/>
  <c r="BA8" i="3"/>
  <c r="BA7" i="3"/>
  <c r="AN61" i="1" l="1"/>
  <c r="AN60" i="1"/>
  <c r="AN59" i="1"/>
  <c r="AN51" i="1"/>
  <c r="AN80" i="1"/>
  <c r="AN77" i="1"/>
  <c r="AN76" i="1"/>
  <c r="AN75" i="1"/>
  <c r="AN71" i="1"/>
  <c r="AN69" i="1"/>
  <c r="AN68" i="1"/>
  <c r="AN67" i="1"/>
  <c r="AN66" i="1"/>
  <c r="AN58" i="1"/>
  <c r="AN54" i="1"/>
  <c r="AN52" i="1" l="1"/>
  <c r="AN72" i="1"/>
  <c r="AN73" i="1"/>
  <c r="AN62" i="1"/>
  <c r="AN79" i="1"/>
  <c r="AN64" i="1"/>
  <c r="AN81" i="1"/>
  <c r="AN65" i="1"/>
  <c r="AN82" i="1"/>
  <c r="AN70" i="1"/>
  <c r="AN63" i="1"/>
  <c r="AN57" i="1"/>
  <c r="AN74" i="1"/>
  <c r="AN65" i="3"/>
  <c r="AN64" i="3"/>
  <c r="AN45" i="3"/>
  <c r="AN33" i="3"/>
  <c r="AN30" i="3"/>
  <c r="AN13" i="3"/>
  <c r="AN12" i="3"/>
  <c r="AN82" i="3" l="1"/>
  <c r="AN46" i="3"/>
  <c r="AN37" i="3"/>
  <c r="AN76" i="3"/>
  <c r="AN38" i="3"/>
  <c r="AN81" i="3"/>
  <c r="AN54" i="3"/>
  <c r="AN57" i="3"/>
  <c r="AN60" i="3"/>
  <c r="AN16" i="3"/>
  <c r="AN41" i="3"/>
  <c r="AN68" i="3"/>
  <c r="AN72" i="3"/>
  <c r="AN29" i="3"/>
  <c r="AN49" i="3"/>
  <c r="AN73" i="3"/>
  <c r="AN14" i="3"/>
  <c r="AN31" i="3"/>
  <c r="AN39" i="3"/>
  <c r="AN47" i="3"/>
  <c r="AN58" i="3"/>
  <c r="AN66" i="3"/>
  <c r="AN74" i="3"/>
  <c r="AN15" i="3"/>
  <c r="AN32" i="3"/>
  <c r="AN40" i="3"/>
  <c r="AN48" i="3"/>
  <c r="AN59" i="3"/>
  <c r="AN67" i="3"/>
  <c r="AN75" i="3"/>
  <c r="AN7" i="3"/>
  <c r="AN17" i="3"/>
  <c r="AN34" i="3"/>
  <c r="AN42" i="3"/>
  <c r="AN50" i="3"/>
  <c r="AN61" i="3"/>
  <c r="AN69" i="3"/>
  <c r="AN77" i="3"/>
  <c r="AN8" i="3"/>
  <c r="AN27" i="3"/>
  <c r="AN35" i="3"/>
  <c r="AN43" i="3"/>
  <c r="AN51" i="3"/>
  <c r="AN62" i="3"/>
  <c r="AN70" i="3"/>
  <c r="AN79" i="3"/>
  <c r="AN11" i="3"/>
  <c r="AN28" i="3"/>
  <c r="AN36" i="3"/>
  <c r="AN44" i="3"/>
  <c r="AN52" i="3"/>
  <c r="AN63" i="3"/>
  <c r="AN71" i="3"/>
  <c r="AN80" i="3"/>
  <c r="AZ83" i="1"/>
  <c r="AZ82" i="1"/>
  <c r="AZ75" i="1"/>
  <c r="AZ74" i="1"/>
  <c r="AZ73" i="1"/>
  <c r="AZ67" i="1"/>
  <c r="AZ66" i="1"/>
  <c r="AZ65" i="1"/>
  <c r="AZ61" i="1"/>
  <c r="AZ51" i="1"/>
  <c r="AZ60" i="1"/>
  <c r="AZ59" i="1"/>
  <c r="AZ81" i="1"/>
  <c r="AZ80" i="1"/>
  <c r="AZ79" i="1"/>
  <c r="AZ77" i="1"/>
  <c r="AZ76" i="1"/>
  <c r="AZ72" i="1"/>
  <c r="AZ71" i="1"/>
  <c r="AZ70" i="1"/>
  <c r="AZ69" i="1"/>
  <c r="AZ68" i="1"/>
  <c r="AZ64" i="1"/>
  <c r="AZ63" i="1"/>
  <c r="AZ62" i="1"/>
  <c r="AZ54" i="1"/>
  <c r="AZ52" i="1"/>
  <c r="AZ58" i="1" l="1"/>
  <c r="AZ57" i="1"/>
  <c r="AZ20" i="3" l="1"/>
  <c r="AZ57" i="3"/>
  <c r="AZ59" i="3"/>
  <c r="AZ13" i="3"/>
  <c r="AZ30" i="3"/>
  <c r="AZ46" i="3"/>
  <c r="AZ58" i="3"/>
  <c r="AZ69" i="3"/>
  <c r="AZ77" i="3"/>
  <c r="AZ60" i="3"/>
  <c r="AZ14" i="3"/>
  <c r="AZ22" i="3"/>
  <c r="AZ31" i="3"/>
  <c r="AZ39" i="3"/>
  <c r="AZ47" i="3"/>
  <c r="AZ62" i="3"/>
  <c r="AZ70" i="3"/>
  <c r="AZ79" i="3"/>
  <c r="AZ61" i="3"/>
  <c r="AZ15" i="3"/>
  <c r="AZ23" i="3"/>
  <c r="AZ32" i="3"/>
  <c r="AZ40" i="3"/>
  <c r="AZ48" i="3"/>
  <c r="AZ63" i="3"/>
  <c r="AZ71" i="3"/>
  <c r="AZ80" i="3"/>
  <c r="AZ29" i="3"/>
  <c r="AZ68" i="3"/>
  <c r="AZ7" i="3"/>
  <c r="AZ16" i="3"/>
  <c r="AZ24" i="3"/>
  <c r="AZ33" i="3"/>
  <c r="AZ41" i="3"/>
  <c r="AZ49" i="3"/>
  <c r="AZ64" i="3"/>
  <c r="AZ72" i="3"/>
  <c r="AZ81" i="3"/>
  <c r="AZ8" i="3"/>
  <c r="AZ17" i="3"/>
  <c r="AZ34" i="3"/>
  <c r="AZ50" i="3"/>
  <c r="AZ65" i="3"/>
  <c r="AZ73" i="3"/>
  <c r="AZ82" i="3"/>
  <c r="AZ37" i="3"/>
  <c r="AZ18" i="3"/>
  <c r="AZ35" i="3"/>
  <c r="AZ43" i="3"/>
  <c r="AZ52" i="3"/>
  <c r="AZ66" i="3"/>
  <c r="AZ74" i="3"/>
  <c r="AZ83" i="3"/>
  <c r="AZ12" i="3"/>
  <c r="AZ45" i="3"/>
  <c r="AZ76" i="3"/>
  <c r="AZ9" i="3"/>
  <c r="AZ27" i="3"/>
  <c r="AZ11" i="3"/>
  <c r="AZ19" i="3"/>
  <c r="AZ28" i="3"/>
  <c r="AZ36" i="3"/>
  <c r="AZ44" i="3"/>
  <c r="AZ54" i="3"/>
  <c r="AZ67" i="3"/>
  <c r="AZ75" i="3"/>
  <c r="AZ51" i="3"/>
  <c r="AZ42" i="3"/>
  <c r="AZ21" i="3"/>
  <c r="AZ38" i="3"/>
  <c r="AY83" i="1"/>
  <c r="AY82" i="1"/>
  <c r="AY81" i="1"/>
  <c r="AY80" i="1"/>
  <c r="AY79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4" i="1"/>
  <c r="AY52" i="1"/>
  <c r="AY51" i="1"/>
  <c r="AM66" i="3"/>
  <c r="AM52" i="3"/>
  <c r="AM50" i="3"/>
  <c r="AM61" i="3"/>
  <c r="AM60" i="3"/>
  <c r="AM59" i="3"/>
  <c r="AM81" i="3"/>
  <c r="AM77" i="3"/>
  <c r="AM72" i="3"/>
  <c r="AM69" i="3"/>
  <c r="AM68" i="3"/>
  <c r="AM67" i="3"/>
  <c r="AM64" i="3"/>
  <c r="AM47" i="3"/>
  <c r="AM41" i="3"/>
  <c r="AM39" i="3"/>
  <c r="AM33" i="3"/>
  <c r="AM27" i="3"/>
  <c r="AM16" i="3"/>
  <c r="AM15" i="3"/>
  <c r="AM11" i="3"/>
  <c r="AM7" i="3"/>
  <c r="AM83" i="3"/>
  <c r="AM82" i="3"/>
  <c r="AM79" i="3"/>
  <c r="AM74" i="3"/>
  <c r="AM73" i="3"/>
  <c r="AM70" i="3"/>
  <c r="AM43" i="3"/>
  <c r="AM42" i="3"/>
  <c r="AM35" i="3"/>
  <c r="AM34" i="3"/>
  <c r="AM17" i="3"/>
  <c r="AM8" i="3"/>
  <c r="AM9" i="3" l="1"/>
  <c r="AM80" i="3"/>
  <c r="AM32" i="3"/>
  <c r="AM48" i="3"/>
  <c r="AM49" i="3"/>
  <c r="AM40" i="3"/>
  <c r="AM57" i="3"/>
  <c r="AM71" i="3"/>
  <c r="AM65" i="3"/>
  <c r="AM36" i="3"/>
  <c r="AM44" i="3"/>
  <c r="AM12" i="3"/>
  <c r="AM29" i="3"/>
  <c r="AM37" i="3"/>
  <c r="AM45" i="3"/>
  <c r="AM51" i="3"/>
  <c r="AM62" i="3"/>
  <c r="AM30" i="3"/>
  <c r="AM38" i="3"/>
  <c r="AM75" i="3"/>
  <c r="AM63" i="3"/>
  <c r="AM58" i="3"/>
  <c r="AM13" i="3"/>
  <c r="AM46" i="3"/>
  <c r="AM14" i="3"/>
  <c r="AM31" i="3"/>
  <c r="AM76" i="3"/>
  <c r="AM54" i="3"/>
  <c r="AM28" i="3"/>
  <c r="AX61" i="3"/>
  <c r="AX60" i="3"/>
  <c r="AX59" i="3"/>
  <c r="AX51" i="3"/>
  <c r="AX51" i="1" l="1"/>
  <c r="AX61" i="1"/>
  <c r="AX60" i="1"/>
  <c r="AX59" i="1"/>
  <c r="AW74" i="3" l="1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2" i="3"/>
  <c r="AW51" i="3"/>
  <c r="AW50" i="3"/>
  <c r="AW49" i="3"/>
  <c r="AW48" i="3"/>
  <c r="AW47" i="3"/>
  <c r="AW46" i="3"/>
  <c r="AW45" i="3"/>
  <c r="AW44" i="3"/>
  <c r="AW43" i="3"/>
  <c r="AW41" i="3"/>
  <c r="AW40" i="3"/>
  <c r="AW39" i="3"/>
  <c r="AW38" i="3"/>
  <c r="AW37" i="3"/>
  <c r="AW35" i="3"/>
  <c r="AW34" i="3"/>
  <c r="AW33" i="3"/>
  <c r="AW32" i="3"/>
  <c r="AW31" i="3"/>
  <c r="AW30" i="3"/>
  <c r="AW29" i="3"/>
  <c r="AW28" i="3"/>
  <c r="AW27" i="3"/>
  <c r="AW24" i="3"/>
  <c r="AW23" i="3"/>
  <c r="AW22" i="3"/>
  <c r="AW21" i="3"/>
  <c r="AW20" i="3"/>
  <c r="AW19" i="3"/>
  <c r="AW18" i="3"/>
  <c r="AW17" i="3"/>
  <c r="AW16" i="3"/>
  <c r="AW15" i="3"/>
  <c r="AW14" i="3"/>
  <c r="AW12" i="3"/>
  <c r="AW9" i="3"/>
  <c r="AW8" i="3"/>
  <c r="AW7" i="3"/>
  <c r="AW74" i="1" l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2" i="1"/>
  <c r="AW51" i="1"/>
  <c r="AM52" i="1" l="1"/>
  <c r="AM81" i="1"/>
  <c r="AM75" i="1"/>
  <c r="AM69" i="1"/>
  <c r="AM79" i="1"/>
  <c r="AM80" i="1"/>
  <c r="AM72" i="1"/>
  <c r="AM66" i="1"/>
  <c r="AM74" i="1"/>
  <c r="AM54" i="1"/>
  <c r="AM67" i="1"/>
  <c r="AM57" i="1"/>
  <c r="AM68" i="1"/>
  <c r="AM76" i="1"/>
  <c r="AM58" i="1"/>
  <c r="AM62" i="1"/>
  <c r="AM63" i="1"/>
  <c r="AM64" i="1"/>
  <c r="AM65" i="1"/>
  <c r="AM73" i="1"/>
  <c r="AM82" i="1"/>
  <c r="AM77" i="1"/>
  <c r="AM70" i="1"/>
  <c r="AM71" i="1"/>
  <c r="AM83" i="1"/>
  <c r="AY83" i="3"/>
  <c r="AY82" i="3"/>
  <c r="AY81" i="3"/>
  <c r="AY80" i="3"/>
  <c r="AY79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58" i="3"/>
  <c r="AY57" i="3"/>
  <c r="AY54" i="3"/>
  <c r="AY52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9" i="3"/>
  <c r="AY8" i="3"/>
  <c r="AY7" i="3"/>
  <c r="AY51" i="3" l="1"/>
  <c r="AY59" i="3"/>
  <c r="AY60" i="3"/>
  <c r="AY61" i="3"/>
  <c r="AM59" i="1" l="1"/>
  <c r="AM51" i="1" l="1"/>
  <c r="AM60" i="1"/>
  <c r="AM61" i="1"/>
  <c r="AL83" i="1" l="1"/>
  <c r="AL82" i="1"/>
  <c r="AL81" i="1"/>
  <c r="AL80" i="1"/>
  <c r="AL79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59" i="1"/>
  <c r="AL58" i="1"/>
  <c r="AL57" i="1"/>
  <c r="AL54" i="1"/>
  <c r="AL52" i="1"/>
  <c r="AL51" i="1"/>
  <c r="AL60" i="1" l="1"/>
  <c r="AL61" i="1"/>
  <c r="AL77" i="1"/>
  <c r="AL63" i="3" l="1"/>
  <c r="AL82" i="3"/>
  <c r="AL74" i="3"/>
  <c r="AL9" i="3"/>
  <c r="AL77" i="3" l="1"/>
  <c r="AL59" i="3" l="1"/>
  <c r="AL83" i="3"/>
  <c r="AL81" i="3"/>
  <c r="AL80" i="3"/>
  <c r="AL79" i="3"/>
  <c r="AL76" i="3"/>
  <c r="AL75" i="3"/>
  <c r="AL73" i="3"/>
  <c r="AL72" i="3"/>
  <c r="AL71" i="3"/>
  <c r="AL70" i="3"/>
  <c r="AL69" i="3"/>
  <c r="AL68" i="3"/>
  <c r="AL67" i="3"/>
  <c r="AL66" i="3"/>
  <c r="AL65" i="3"/>
  <c r="AL64" i="3"/>
  <c r="AL62" i="3"/>
  <c r="AL61" i="3"/>
  <c r="AL60" i="3"/>
  <c r="AL58" i="3"/>
  <c r="AL57" i="3"/>
  <c r="AL54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17" i="3"/>
  <c r="AL16" i="3"/>
  <c r="AL15" i="3"/>
  <c r="AL14" i="3"/>
  <c r="AL13" i="3"/>
  <c r="AL12" i="3"/>
  <c r="AL11" i="3"/>
  <c r="AL8" i="3"/>
  <c r="AL7" i="3"/>
  <c r="AX74" i="1" l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58" i="1"/>
  <c r="AX57" i="1"/>
  <c r="AX52" i="1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58" i="3"/>
  <c r="AX57" i="3"/>
  <c r="AX52" i="3"/>
  <c r="AX50" i="3"/>
  <c r="AX49" i="3"/>
  <c r="AX48" i="3"/>
  <c r="AX47" i="3"/>
  <c r="AX46" i="3"/>
  <c r="AX45" i="3"/>
  <c r="AX44" i="3"/>
  <c r="AX43" i="3"/>
  <c r="AX41" i="3"/>
  <c r="AX40" i="3"/>
  <c r="AX39" i="3"/>
  <c r="AX38" i="3"/>
  <c r="AX37" i="3"/>
  <c r="AX35" i="3"/>
  <c r="AX34" i="3"/>
  <c r="AX33" i="3"/>
  <c r="AX32" i="3"/>
  <c r="AX31" i="3"/>
  <c r="AX30" i="3"/>
  <c r="AX29" i="3"/>
  <c r="AX28" i="3"/>
  <c r="AX27" i="3"/>
  <c r="AX24" i="3"/>
  <c r="AX23" i="3"/>
  <c r="AX22" i="3"/>
  <c r="AX21" i="3"/>
  <c r="AX20" i="3"/>
  <c r="AX19" i="3"/>
  <c r="AX18" i="3"/>
  <c r="AX17" i="3"/>
  <c r="AX16" i="3"/>
  <c r="AX15" i="3"/>
  <c r="AX14" i="3"/>
  <c r="AX12" i="3"/>
  <c r="AX9" i="3"/>
  <c r="AX8" i="3"/>
  <c r="AX7" i="3"/>
  <c r="AJ39" i="3" l="1"/>
  <c r="AK60" i="3"/>
  <c r="AK61" i="3"/>
  <c r="AK74" i="3" l="1"/>
  <c r="AK73" i="3"/>
  <c r="AK72" i="3"/>
  <c r="AK71" i="3"/>
  <c r="AK70" i="3"/>
  <c r="AK69" i="3"/>
  <c r="AK68" i="3"/>
  <c r="AK67" i="3"/>
  <c r="AK66" i="3"/>
  <c r="AK65" i="3"/>
  <c r="AK64" i="3"/>
  <c r="AK63" i="3"/>
  <c r="AK62" i="3"/>
  <c r="AK59" i="3"/>
  <c r="AK58" i="3"/>
  <c r="AK57" i="3"/>
  <c r="AK52" i="3"/>
  <c r="AJ52" i="3"/>
  <c r="AK51" i="3"/>
  <c r="AJ51" i="3"/>
  <c r="AK50" i="3"/>
  <c r="AJ50" i="3"/>
  <c r="AK49" i="3"/>
  <c r="AJ49" i="3"/>
  <c r="AK48" i="3"/>
  <c r="AJ48" i="3"/>
  <c r="AK47" i="3"/>
  <c r="AJ47" i="3"/>
  <c r="AK46" i="3"/>
  <c r="AJ46" i="3"/>
  <c r="AK45" i="3"/>
  <c r="AJ45" i="3"/>
  <c r="AK44" i="3"/>
  <c r="AJ44" i="3"/>
  <c r="AK43" i="3"/>
  <c r="AJ43" i="3"/>
  <c r="AK41" i="3"/>
  <c r="AJ41" i="3"/>
  <c r="AK40" i="3"/>
  <c r="AJ40" i="3"/>
  <c r="AK39" i="3"/>
  <c r="AK38" i="3"/>
  <c r="AJ38" i="3"/>
  <c r="AK37" i="3"/>
  <c r="AJ37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17" i="3"/>
  <c r="AJ17" i="3"/>
  <c r="AK16" i="3"/>
  <c r="AJ16" i="3"/>
  <c r="AK15" i="3"/>
  <c r="AJ15" i="3"/>
  <c r="AK14" i="3"/>
  <c r="AJ14" i="3"/>
  <c r="AK12" i="3"/>
  <c r="AJ12" i="3"/>
  <c r="AK9" i="3"/>
  <c r="AJ9" i="3"/>
  <c r="AK8" i="3"/>
  <c r="AK7" i="3"/>
  <c r="AJ52" i="1" l="1"/>
  <c r="AJ51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59" i="1"/>
  <c r="AK58" i="1"/>
  <c r="AK57" i="1"/>
  <c r="AK52" i="1"/>
  <c r="AK51" i="1"/>
</calcChain>
</file>

<file path=xl/sharedStrings.xml><?xml version="1.0" encoding="utf-8"?>
<sst xmlns="http://schemas.openxmlformats.org/spreadsheetml/2006/main" count="326" uniqueCount="136">
  <si>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</si>
  <si>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</si>
  <si>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</si>
  <si>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</si>
  <si>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</si>
  <si>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</si>
  <si>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Dec - Dec Annual Subsidence (feet)</t>
  </si>
  <si>
    <t>July - July Annual Subsidence (feet)</t>
  </si>
  <si>
    <t>NAD 83 (2007) CA Zone 4 - US Feet</t>
  </si>
  <si>
    <t>NAVD 88</t>
  </si>
  <si>
    <t>Semiannual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</si>
  <si>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</si>
  <si>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</si>
  <si>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</si>
  <si>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</si>
  <si>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</si>
  <si>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</si>
  <si>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</si>
  <si>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</si>
  <si>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</si>
  <si>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</si>
  <si>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</si>
  <si>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</si>
  <si>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</si>
  <si>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</si>
  <si>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</si>
  <si>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</si>
  <si>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</si>
  <si>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</si>
  <si>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</si>
  <si>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</si>
  <si>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</si>
  <si>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</si>
  <si>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</si>
  <si>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</si>
  <si>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</si>
  <si>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</si>
  <si>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</si>
  <si>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</si>
  <si>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</si>
  <si>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</si>
  <si>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</si>
  <si>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</si>
  <si>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</si>
  <si>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</si>
  <si>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</si>
  <si>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</si>
  <si>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</si>
  <si>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</si>
  <si>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</si>
  <si>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</si>
  <si>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</si>
  <si>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</si>
  <si>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</si>
  <si>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</si>
  <si>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</si>
  <si>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</si>
  <si>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</si>
  <si>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</si>
  <si>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</si>
  <si>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</si>
  <si>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</si>
  <si>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</si>
  <si>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</si>
  <si>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</si>
  <si>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</si>
  <si>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</si>
  <si>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</si>
  <si>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</si>
  <si>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</si>
  <si>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</si>
  <si>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</si>
  <si>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</si>
  <si>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</si>
  <si>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</si>
  <si>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</si>
  <si>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</si>
  <si>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</si>
  <si>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</si>
  <si>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</si>
  <si>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</si>
  <si>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</si>
  <si>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</si>
  <si>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</si>
  <si>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</si>
  <si>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</si>
  <si>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</si>
  <si>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</si>
  <si>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</si>
  <si>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</si>
  <si>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</si>
  <si>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</si>
  <si>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</si>
  <si>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</si>
  <si>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</si>
  <si>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</si>
  <si>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</si>
  <si>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</si>
  <si>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</si>
  <si>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</si>
  <si>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</si>
  <si>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</si>
  <si>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</si>
  <si>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</si>
  <si>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</si>
  <si>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</si>
  <si>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</si>
  <si>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</si>
  <si>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</si>
  <si>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</si>
  <si>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Shorter Duration  (Calculation starts with first December occupation or first July occupation)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</si>
  <si>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</si>
  <si>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</si>
  <si>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</si>
  <si>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</si>
  <si>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</si>
  <si>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</si>
  <si>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</si>
  <si>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</si>
  <si>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</si>
  <si>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</si>
  <si>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</si>
  <si>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</si>
  <si>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</si>
  <si>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</si>
  <si>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</si>
  <si>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</si>
  <si>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</si>
  <si>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</si>
  <si>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</si>
  <si>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</si>
  <si>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</si>
  <si>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Constrained Adj - Dec 2023</t>
  </si>
  <si>
    <t>Free Adjustment - Dec 2023</t>
  </si>
  <si>
    <t>Constrained Adjustment Control Point</t>
  </si>
  <si>
    <t>Free Adjustment Control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</si>
</sst>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6933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2" fontId="19" fillId="0" borderId="10" xfId="0" applyNumberFormat="1" applyFon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164" fontId="0" fillId="38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2" fontId="0" fillId="0" borderId="10" xfId="0" applyNumberFormat="1" applyFon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Fill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NumberFormat="1" applyFont="1" applyFill="1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horizontal="right"/>
    </xf>
    <xf numFmtId="2" fontId="18" fillId="0" borderId="10" xfId="0" applyNumberFormat="1" applyFont="1" applyFill="1" applyBorder="1" applyAlignment="1">
      <alignment horizontal="center"/>
    </xf>
    <xf numFmtId="17" fontId="0" fillId="40" borderId="15" xfId="0" applyNumberFormat="1" applyFill="1" applyBorder="1" applyAlignment="1">
      <alignment horizontal="center"/>
    </xf>
    <xf numFmtId="17" fontId="0" fillId="40" borderId="13" xfId="0" applyNumberFormat="1" applyFill="1" applyBorder="1" applyAlignment="1">
      <alignment horizontal="center"/>
    </xf>
    <xf numFmtId="2" fontId="19" fillId="40" borderId="10" xfId="0" applyNumberFormat="1" applyFont="1" applyFill="1" applyBorder="1" applyAlignment="1">
      <alignment horizontal="center"/>
    </xf>
    <xf numFmtId="0" fontId="0" fillId="40" borderId="0" xfId="0" applyFill="1"/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16" fillId="38" borderId="16" xfId="0" applyFont="1" applyFill="1" applyBorder="1" applyAlignment="1">
      <alignment horizontal="right" wrapText="1"/>
    </xf>
    <xf numFmtId="17" fontId="0" fillId="38" borderId="16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14" fontId="0" fillId="38" borderId="16" xfId="0" applyNumberFormat="1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10" xfId="0" applyNumberFormat="1" applyFill="1" applyBorder="1" applyAlignment="1" applyProtection="1">
      <alignment horizontal="center"/>
    </xf>
    <xf numFmtId="0" fontId="0" fillId="41" borderId="0" xfId="0" applyFill="1"/>
    <xf numFmtId="0" fontId="0" fillId="41" borderId="10" xfId="0" applyFill="1" applyBorder="1" applyAlignment="1">
      <alignment horizontal="center"/>
    </xf>
    <xf numFmtId="2" fontId="0" fillId="41" borderId="10" xfId="0" applyNumberForma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20" fillId="38" borderId="0" xfId="0" applyFont="1" applyFill="1" applyAlignment="1">
      <alignment horizontal="center" vertic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19" fillId="35" borderId="16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01"/>
  <sheetViews>
    <sheetView tabSelected="1" showWhiteSpace="0" zoomScale="90" zoomScaleNormal="90" workbookViewId="0">
      <pane xSplit="5" ySplit="5" topLeftCell="AO6" activePane="bottomRight" state="frozen"/>
      <selection pane="topRight" activeCell="F1" sqref="F1"/>
      <selection pane="bottomLeft" activeCell="A6" sqref="A6"/>
      <selection pane="bottomRight" activeCell="AV52" sqref="AV52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140625" customWidth="1"/>
    <col min="5" max="5" width="24.85546875" style="1" customWidth="1"/>
    <col min="6" max="6" width="6.7109375" style="1" hidden="1" customWidth="1"/>
    <col min="7" max="7" width="17.5703125" style="1" hidden="1" customWidth="1"/>
    <col min="8" max="8" width="7.28515625" style="1" hidden="1" customWidth="1"/>
    <col min="9" max="9" width="10.85546875" style="1" hidden="1" customWidth="1"/>
    <col min="10" max="10" width="10.28515625" style="1" hidden="1" customWidth="1"/>
    <col min="11" max="11" width="19.140625" style="1" customWidth="1"/>
    <col min="12" max="12" width="11.28515625" bestFit="1" customWidth="1"/>
    <col min="13" max="13" width="10.7109375" customWidth="1"/>
    <col min="14" max="14" width="11.28515625" bestFit="1" customWidth="1"/>
    <col min="15" max="17" width="10.7109375" customWidth="1"/>
    <col min="18" max="18" width="11.28515625" style="8" bestFit="1" customWidth="1"/>
    <col min="19" max="19" width="10.7109375" style="24" customWidth="1"/>
    <col min="20" max="20" width="11.28515625" style="20" bestFit="1" customWidth="1"/>
    <col min="21" max="21" width="10.7109375" style="25" customWidth="1"/>
    <col min="22" max="22" width="11.28515625" style="25" bestFit="1" customWidth="1"/>
    <col min="23" max="25" width="10.7109375" style="25" customWidth="1"/>
    <col min="26" max="26" width="11.28515625" style="25" bestFit="1" customWidth="1"/>
    <col min="27" max="27" width="10.7109375" style="25" customWidth="1"/>
    <col min="28" max="28" width="11.7109375" style="37" customWidth="1"/>
    <col min="29" max="29" width="11.28515625" style="37" bestFit="1" customWidth="1"/>
    <col min="30" max="32" width="10.7109375" style="37" customWidth="1"/>
    <col min="33" max="33" width="10.140625" style="37" bestFit="1" customWidth="1"/>
    <col min="34" max="34" width="10.7109375" style="37" customWidth="1"/>
    <col min="35" max="35" width="10.140625" style="37" bestFit="1" customWidth="1"/>
    <col min="36" max="38" width="10.7109375" customWidth="1"/>
    <col min="39" max="39" width="14.28515625" style="25" customWidth="1"/>
    <col min="40" max="41" width="10.7109375" style="25" customWidth="1"/>
    <col min="42" max="42" width="10.7109375" style="7" customWidth="1"/>
    <col min="43" max="47" width="10.7109375" style="25" customWidth="1"/>
    <col min="48" max="48" width="10.7109375" style="4" customWidth="1"/>
    <col min="49" max="49" width="10.7109375" style="21" customWidth="1"/>
    <col min="50" max="50" width="10.7109375" customWidth="1"/>
    <col min="51" max="51" width="10.7109375" style="20" customWidth="1"/>
    <col min="52" max="52" width="10.7109375" style="25" customWidth="1"/>
    <col min="53" max="53" width="10.7109375" style="21" customWidth="1"/>
    <col min="54" max="60" width="10.7109375" style="25" customWidth="1"/>
  </cols>
  <sheetData>
    <row r="1" spans="1:60" s="12" customFormat="1" ht="18.75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25"/>
      <c r="AZ1" s="25"/>
      <c r="BA1" s="25"/>
      <c r="BB1" s="25"/>
      <c r="BC1" s="25"/>
      <c r="BD1" s="25"/>
      <c r="BE1" s="25"/>
      <c r="BF1" s="25"/>
      <c r="BG1" s="25"/>
      <c r="BH1" s="25"/>
    </row>
    <row r="2" spans="1:60" s="12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25"/>
      <c r="AZ2" s="25"/>
      <c r="BA2" s="25"/>
      <c r="BB2" s="25"/>
      <c r="BC2" s="25"/>
      <c r="BD2" s="25"/>
      <c r="BE2" s="25"/>
      <c r="BF2" s="25"/>
      <c r="BG2" s="25"/>
      <c r="BH2" s="25"/>
    </row>
    <row r="3" spans="1:60" s="12" customFormat="1" x14ac:dyDescent="0.25">
      <c r="A3" s="13"/>
      <c r="B3" s="135" t="s">
        <v>132</v>
      </c>
      <c r="C3" s="136"/>
      <c r="D3" s="137"/>
      <c r="E3" s="35"/>
      <c r="F3" s="142" t="s">
        <v>0</v>
      </c>
      <c r="G3" s="142" t="s">
        <v>1</v>
      </c>
      <c r="H3" s="142" t="s">
        <v>2</v>
      </c>
      <c r="I3" s="142" t="s">
        <v>3</v>
      </c>
      <c r="J3" s="143" t="s">
        <v>4</v>
      </c>
      <c r="K3" s="106"/>
      <c r="L3" s="144" t="s">
        <v>5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5"/>
      <c r="AI3" s="120"/>
      <c r="AJ3" s="139" t="s">
        <v>6</v>
      </c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1"/>
      <c r="AW3" s="139" t="s">
        <v>7</v>
      </c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1"/>
    </row>
    <row r="4" spans="1:60" s="12" customFormat="1" ht="30" x14ac:dyDescent="0.25">
      <c r="A4" s="18"/>
      <c r="B4" s="138" t="s">
        <v>8</v>
      </c>
      <c r="C4" s="138"/>
      <c r="D4" s="113" t="s">
        <v>9</v>
      </c>
      <c r="E4" s="35"/>
      <c r="F4" s="142"/>
      <c r="G4" s="142"/>
      <c r="H4" s="142"/>
      <c r="I4" s="142"/>
      <c r="J4" s="142"/>
      <c r="K4" s="105" t="s">
        <v>10</v>
      </c>
      <c r="L4" s="99">
        <v>40878</v>
      </c>
      <c r="M4" s="100">
        <v>41091</v>
      </c>
      <c r="N4" s="100">
        <v>41244</v>
      </c>
      <c r="O4" s="100">
        <v>41456</v>
      </c>
      <c r="P4" s="100">
        <v>41609</v>
      </c>
      <c r="Q4" s="100">
        <v>41821</v>
      </c>
      <c r="R4" s="100">
        <v>41974</v>
      </c>
      <c r="S4" s="100">
        <v>42186</v>
      </c>
      <c r="T4" s="100">
        <v>42339</v>
      </c>
      <c r="U4" s="100">
        <v>42567</v>
      </c>
      <c r="V4" s="100">
        <v>42716</v>
      </c>
      <c r="W4" s="100">
        <v>42917</v>
      </c>
      <c r="X4" s="100">
        <v>43070</v>
      </c>
      <c r="Y4" s="100">
        <v>43282</v>
      </c>
      <c r="Z4" s="100">
        <v>43435</v>
      </c>
      <c r="AA4" s="100">
        <v>43647</v>
      </c>
      <c r="AB4" s="100">
        <v>43800</v>
      </c>
      <c r="AC4" s="100">
        <v>44166</v>
      </c>
      <c r="AD4" s="100">
        <v>44398</v>
      </c>
      <c r="AE4" s="100">
        <v>44531</v>
      </c>
      <c r="AF4" s="100">
        <v>44764</v>
      </c>
      <c r="AG4" s="100">
        <v>44917</v>
      </c>
      <c r="AH4" s="100">
        <v>45108</v>
      </c>
      <c r="AI4" s="100">
        <v>45261</v>
      </c>
      <c r="AJ4" s="23">
        <v>40878</v>
      </c>
      <c r="AK4" s="16">
        <v>41244</v>
      </c>
      <c r="AL4" s="31">
        <v>41609</v>
      </c>
      <c r="AM4" s="31">
        <v>41974</v>
      </c>
      <c r="AN4" s="31">
        <v>42339</v>
      </c>
      <c r="AO4" s="31">
        <v>42705</v>
      </c>
      <c r="AP4" s="31">
        <v>43070</v>
      </c>
      <c r="AQ4" s="31">
        <v>43435</v>
      </c>
      <c r="AR4" s="50">
        <v>43800</v>
      </c>
      <c r="AS4" s="50">
        <v>44166</v>
      </c>
      <c r="AT4" s="50">
        <v>44531</v>
      </c>
      <c r="AU4" s="50">
        <v>44896</v>
      </c>
      <c r="AV4" s="50">
        <v>40878</v>
      </c>
      <c r="AW4" s="31">
        <v>41091</v>
      </c>
      <c r="AX4" s="31">
        <v>41456</v>
      </c>
      <c r="AY4" s="31">
        <v>41821</v>
      </c>
      <c r="AZ4" s="31">
        <v>42186</v>
      </c>
      <c r="BA4" s="31">
        <v>42552</v>
      </c>
      <c r="BB4" s="42">
        <v>42917</v>
      </c>
      <c r="BC4" s="42">
        <v>43282</v>
      </c>
      <c r="BD4" s="42">
        <v>43647</v>
      </c>
      <c r="BE4" s="42">
        <v>44378</v>
      </c>
      <c r="BF4" s="42">
        <v>44743</v>
      </c>
      <c r="BG4" s="42">
        <v>44378</v>
      </c>
      <c r="BH4" s="31">
        <v>41091</v>
      </c>
    </row>
    <row r="5" spans="1:60" s="12" customFormat="1" ht="30" x14ac:dyDescent="0.25">
      <c r="A5" s="3" t="s">
        <v>11</v>
      </c>
      <c r="B5" s="3" t="s">
        <v>12</v>
      </c>
      <c r="C5" s="3" t="s">
        <v>13</v>
      </c>
      <c r="D5" s="3" t="s">
        <v>14</v>
      </c>
      <c r="E5" s="114" t="s">
        <v>15</v>
      </c>
      <c r="F5" s="142"/>
      <c r="G5" s="142"/>
      <c r="H5" s="142"/>
      <c r="I5" s="142"/>
      <c r="J5" s="142"/>
      <c r="K5" s="101" t="s">
        <v>16</v>
      </c>
      <c r="L5" s="96">
        <v>40875</v>
      </c>
      <c r="M5" s="97">
        <v>41101</v>
      </c>
      <c r="N5" s="98">
        <v>41263</v>
      </c>
      <c r="O5" s="97">
        <v>41475</v>
      </c>
      <c r="P5" s="98">
        <v>41617</v>
      </c>
      <c r="Q5" s="97">
        <v>41834</v>
      </c>
      <c r="R5" s="98">
        <v>41988</v>
      </c>
      <c r="S5" s="97">
        <v>42212</v>
      </c>
      <c r="T5" s="98">
        <v>42352</v>
      </c>
      <c r="U5" s="97">
        <v>42569</v>
      </c>
      <c r="V5" s="98">
        <v>42716</v>
      </c>
      <c r="W5" s="97">
        <v>42933</v>
      </c>
      <c r="X5" s="98">
        <v>43073</v>
      </c>
      <c r="Y5" s="97">
        <v>43311</v>
      </c>
      <c r="Z5" s="98">
        <v>43444</v>
      </c>
      <c r="AA5" s="97">
        <v>43668</v>
      </c>
      <c r="AB5" s="98">
        <v>43808</v>
      </c>
      <c r="AC5" s="98">
        <v>44179</v>
      </c>
      <c r="AD5" s="98">
        <v>44392</v>
      </c>
      <c r="AE5" s="98">
        <v>44536</v>
      </c>
      <c r="AF5" s="98">
        <v>44767</v>
      </c>
      <c r="AG5" s="98">
        <v>44900</v>
      </c>
      <c r="AH5" s="98">
        <v>45103</v>
      </c>
      <c r="AI5" s="98">
        <v>45264</v>
      </c>
      <c r="AJ5" s="26">
        <v>41244</v>
      </c>
      <c r="AK5" s="26">
        <v>41609</v>
      </c>
      <c r="AL5" s="26">
        <v>41974</v>
      </c>
      <c r="AM5" s="26">
        <v>42339</v>
      </c>
      <c r="AN5" s="26">
        <v>42705</v>
      </c>
      <c r="AO5" s="26">
        <v>43070</v>
      </c>
      <c r="AP5" s="26">
        <v>43435</v>
      </c>
      <c r="AQ5" s="26">
        <v>43800</v>
      </c>
      <c r="AR5" s="26">
        <v>44166</v>
      </c>
      <c r="AS5" s="26">
        <v>44531</v>
      </c>
      <c r="AT5" s="26">
        <v>44896</v>
      </c>
      <c r="AU5" s="26">
        <v>45261</v>
      </c>
      <c r="AV5" s="26">
        <v>45261</v>
      </c>
      <c r="AW5" s="26">
        <v>41456</v>
      </c>
      <c r="AX5" s="26">
        <v>41821</v>
      </c>
      <c r="AY5" s="26">
        <v>42186</v>
      </c>
      <c r="AZ5" s="26">
        <v>42552</v>
      </c>
      <c r="BA5" s="26">
        <v>42917</v>
      </c>
      <c r="BB5" s="43">
        <v>43282</v>
      </c>
      <c r="BC5" s="43">
        <v>43647</v>
      </c>
      <c r="BD5" s="43">
        <v>44378</v>
      </c>
      <c r="BE5" s="43">
        <v>44743</v>
      </c>
      <c r="BF5" s="43">
        <v>45108</v>
      </c>
      <c r="BG5" s="43">
        <v>45108</v>
      </c>
      <c r="BH5" s="26">
        <v>45108</v>
      </c>
    </row>
    <row r="6" spans="1:60" x14ac:dyDescent="0.25">
      <c r="A6" s="3">
        <v>29</v>
      </c>
      <c r="B6" s="27">
        <v>2255715.2000000002</v>
      </c>
      <c r="C6" s="27">
        <v>6232765.2570000002</v>
      </c>
      <c r="D6" s="27">
        <v>276.27199999999999</v>
      </c>
      <c r="E6" s="90" t="s">
        <v>17</v>
      </c>
      <c r="F6" s="54">
        <v>2012</v>
      </c>
      <c r="G6" s="27">
        <v>279.202</v>
      </c>
      <c r="H6" s="54">
        <v>2012</v>
      </c>
      <c r="I6" s="27">
        <v>279.24700000000001</v>
      </c>
      <c r="J6" s="54">
        <v>2023</v>
      </c>
      <c r="K6" s="148"/>
      <c r="L6" s="44"/>
      <c r="M6" s="27">
        <v>279.24700000000001</v>
      </c>
      <c r="N6" s="27">
        <v>279.202</v>
      </c>
      <c r="O6" s="27">
        <v>279.08300000000003</v>
      </c>
      <c r="P6" s="27">
        <v>278.93</v>
      </c>
      <c r="Q6" s="27">
        <v>278.678</v>
      </c>
      <c r="R6" s="27">
        <v>278.56099999999998</v>
      </c>
      <c r="S6" s="27">
        <v>278.28399999999999</v>
      </c>
      <c r="T6" s="27">
        <v>278.149</v>
      </c>
      <c r="U6" s="27">
        <v>278.03300000000002</v>
      </c>
      <c r="V6" s="27">
        <v>277.88</v>
      </c>
      <c r="W6" s="27">
        <v>277.726</v>
      </c>
      <c r="X6" s="27">
        <v>277.64</v>
      </c>
      <c r="Y6" s="27">
        <v>277.61799999999999</v>
      </c>
      <c r="Z6" s="27">
        <v>277.36599999999999</v>
      </c>
      <c r="AA6" s="27">
        <v>277.291</v>
      </c>
      <c r="AB6" s="34">
        <v>277.19099999999997</v>
      </c>
      <c r="AC6" s="34">
        <v>276.95100000000002</v>
      </c>
      <c r="AD6" s="34">
        <v>276.83300000000003</v>
      </c>
      <c r="AE6" s="47">
        <v>276.62200000000001</v>
      </c>
      <c r="AF6" s="47">
        <v>276.58800000000002</v>
      </c>
      <c r="AG6" s="47">
        <v>276.33199999999999</v>
      </c>
      <c r="AH6" s="47">
        <v>276.24299999999999</v>
      </c>
      <c r="AI6" s="47">
        <f>D6</f>
        <v>276.27199999999999</v>
      </c>
      <c r="AJ6" s="15"/>
      <c r="AK6" s="27">
        <f>P6-N6</f>
        <v>-0.27199999999999136</v>
      </c>
      <c r="AL6" s="29">
        <f>R6-P6</f>
        <v>-0.36900000000002819</v>
      </c>
      <c r="AM6" s="29">
        <f>T6-R6</f>
        <v>-0.41199999999997772</v>
      </c>
      <c r="AN6" s="29">
        <f>V6-T6</f>
        <v>-0.26900000000000546</v>
      </c>
      <c r="AO6" s="29">
        <f>X6-V6</f>
        <v>-0.24000000000000909</v>
      </c>
      <c r="AP6" s="29">
        <f t="shared" ref="AP6:AP24" si="0">Z6-X6</f>
        <v>-0.27400000000000091</v>
      </c>
      <c r="AQ6" s="29">
        <f>AB6-Z6</f>
        <v>-0.17500000000001137</v>
      </c>
      <c r="AR6" s="38">
        <f>AC6-AB6</f>
        <v>-0.23999999999995225</v>
      </c>
      <c r="AS6" s="38">
        <f>AE6-AC6</f>
        <v>-0.32900000000000773</v>
      </c>
      <c r="AT6" s="38">
        <f>AG6-AE6</f>
        <v>-0.29000000000002046</v>
      </c>
      <c r="AU6" s="38">
        <f>AI6-AG6</f>
        <v>-6.0000000000002274E-2</v>
      </c>
      <c r="AV6" s="108">
        <f>(AG6-G6)/(2023-F6)</f>
        <v>-0.26090909090909131</v>
      </c>
      <c r="AW6" s="22">
        <f>O6-M6</f>
        <v>-0.16399999999998727</v>
      </c>
      <c r="AX6" s="29">
        <f>Q6-O6</f>
        <v>-0.40500000000002956</v>
      </c>
      <c r="AY6" s="29">
        <f>S6-Q6</f>
        <v>-0.39400000000000546</v>
      </c>
      <c r="AZ6" s="29">
        <f>U6-S6</f>
        <v>-0.25099999999997635</v>
      </c>
      <c r="BA6" s="29">
        <f>W6-U6</f>
        <v>-0.30700000000001637</v>
      </c>
      <c r="BB6" s="29">
        <f>Y6-W6</f>
        <v>-0.10800000000000409</v>
      </c>
      <c r="BC6" s="29">
        <f t="shared" ref="BC6:BC24" si="1">AA6-Y6</f>
        <v>-0.32699999999999818</v>
      </c>
      <c r="BD6" s="29">
        <f t="shared" ref="BD6:BD17" si="2">(AD6-AA6)/2</f>
        <v>-0.22899999999998499</v>
      </c>
      <c r="BE6" s="29">
        <f>AF6-AD6</f>
        <v>-0.24500000000000455</v>
      </c>
      <c r="BF6" s="29">
        <f>AH6-AF6</f>
        <v>-0.34500000000002728</v>
      </c>
      <c r="BG6" s="29">
        <f>(AH6-AD6)/2</f>
        <v>-0.29500000000001592</v>
      </c>
      <c r="BH6" s="29">
        <f>(AH6-$I6)/(2023-$H6)</f>
        <v>-0.27309090909091083</v>
      </c>
    </row>
    <row r="7" spans="1:60" x14ac:dyDescent="0.25">
      <c r="A7" s="3">
        <v>62</v>
      </c>
      <c r="B7" s="27">
        <v>2138252.523</v>
      </c>
      <c r="C7" s="27">
        <v>6339532.9239999996</v>
      </c>
      <c r="D7" s="27">
        <v>288.71699999999998</v>
      </c>
      <c r="E7" s="90" t="s">
        <v>18</v>
      </c>
      <c r="F7" s="54">
        <v>2012</v>
      </c>
      <c r="G7" s="30">
        <v>288.87</v>
      </c>
      <c r="H7" s="54">
        <v>2012</v>
      </c>
      <c r="I7" s="27">
        <v>288.84800000000001</v>
      </c>
      <c r="J7" s="54">
        <v>2023</v>
      </c>
      <c r="K7" s="149"/>
      <c r="L7" s="44"/>
      <c r="M7" s="27">
        <v>288.84800000000001</v>
      </c>
      <c r="N7" s="27">
        <v>288.87</v>
      </c>
      <c r="O7" s="27">
        <v>288.767</v>
      </c>
      <c r="P7" s="27">
        <v>288.81</v>
      </c>
      <c r="Q7" s="27">
        <v>288.822</v>
      </c>
      <c r="R7" s="27">
        <v>288.79399999999998</v>
      </c>
      <c r="S7" s="27">
        <v>288.755</v>
      </c>
      <c r="T7" s="27">
        <v>288.81700000000001</v>
      </c>
      <c r="U7" s="27">
        <v>288.68200000000002</v>
      </c>
      <c r="V7" s="27">
        <v>288.721</v>
      </c>
      <c r="W7" s="27">
        <v>288.69499999999999</v>
      </c>
      <c r="X7" s="27">
        <v>288.74</v>
      </c>
      <c r="Y7" s="27">
        <v>288.81099999999998</v>
      </c>
      <c r="Z7" s="27">
        <v>288.76100000000002</v>
      </c>
      <c r="AA7" s="27">
        <v>288.78199999999998</v>
      </c>
      <c r="AB7" s="34">
        <v>288.73099999999999</v>
      </c>
      <c r="AC7" s="34">
        <v>288.74299999999999</v>
      </c>
      <c r="AD7" s="34">
        <v>288.90300000000002</v>
      </c>
      <c r="AE7" s="47">
        <v>288.69</v>
      </c>
      <c r="AF7" s="47">
        <v>288.81099999999998</v>
      </c>
      <c r="AG7" s="47">
        <v>288.70600000000002</v>
      </c>
      <c r="AH7" s="47">
        <v>288.61500000000001</v>
      </c>
      <c r="AI7" s="47">
        <f t="shared" ref="AI7:AI17" si="3">D7</f>
        <v>288.71699999999998</v>
      </c>
      <c r="AJ7" s="15"/>
      <c r="AK7" s="27">
        <f>P7-N7</f>
        <v>-6.0000000000002274E-2</v>
      </c>
      <c r="AL7" s="29">
        <f>R7-P7</f>
        <v>-1.6000000000019554E-2</v>
      </c>
      <c r="AM7" s="29">
        <f>T7-R7</f>
        <v>2.3000000000024556E-2</v>
      </c>
      <c r="AN7" s="29">
        <f>V7-T7</f>
        <v>-9.6000000000003638E-2</v>
      </c>
      <c r="AO7" s="29">
        <f>X7-V7</f>
        <v>1.9000000000005457E-2</v>
      </c>
      <c r="AP7" s="29">
        <f t="shared" si="0"/>
        <v>2.1000000000015007E-2</v>
      </c>
      <c r="AQ7" s="29">
        <f>AB7-Z7</f>
        <v>-3.0000000000029559E-2</v>
      </c>
      <c r="AR7" s="38">
        <f>AC7-AB7</f>
        <v>1.2000000000000455E-2</v>
      </c>
      <c r="AS7" s="38">
        <f t="shared" ref="AS7:AS17" si="4">AE7-AC7</f>
        <v>-5.2999999999997272E-2</v>
      </c>
      <c r="AT7" s="38">
        <f t="shared" ref="AT7:AT16" si="5">AG7-AE7</f>
        <v>1.6000000000019554E-2</v>
      </c>
      <c r="AU7" s="38">
        <f t="shared" ref="AU7:AU70" si="6">AI7-AG7</f>
        <v>1.0999999999967258E-2</v>
      </c>
      <c r="AV7" s="108">
        <f t="shared" ref="AV7:AV14" si="7">(AG7-G7)/(2023-F7)</f>
        <v>-1.4909090909089751E-2</v>
      </c>
      <c r="AW7" s="22">
        <f>O7-M7</f>
        <v>-8.100000000001728E-2</v>
      </c>
      <c r="AX7" s="29">
        <f>Q7-O7</f>
        <v>5.5000000000006821E-2</v>
      </c>
      <c r="AY7" s="29">
        <f>S7-Q7</f>
        <v>-6.7000000000007276E-2</v>
      </c>
      <c r="AZ7" s="29">
        <f>U7-S7</f>
        <v>-7.2999999999979082E-2</v>
      </c>
      <c r="BA7" s="29">
        <f>W7-U7</f>
        <v>1.2999999999976808E-2</v>
      </c>
      <c r="BB7" s="29">
        <f>Y7-W7</f>
        <v>0.11599999999998545</v>
      </c>
      <c r="BC7" s="29">
        <f t="shared" si="1"/>
        <v>-2.8999999999996362E-2</v>
      </c>
      <c r="BD7" s="29">
        <f t="shared" si="2"/>
        <v>6.0500000000018872E-2</v>
      </c>
      <c r="BE7" s="29">
        <f t="shared" ref="BE7:BE17" si="8">AF7-AD7</f>
        <v>-9.2000000000041382E-2</v>
      </c>
      <c r="BF7" s="29">
        <f t="shared" ref="BF7:BF17" si="9">AH7-AF7</f>
        <v>-0.19599999999996953</v>
      </c>
      <c r="BG7" s="29">
        <f t="shared" ref="BG7:BG17" si="10">(AH7-AD7)/2</f>
        <v>-0.14400000000000546</v>
      </c>
      <c r="BH7" s="29">
        <f t="shared" ref="BH7:BH17" si="11">(AH7-$I7)/(2023-$H7)</f>
        <v>-2.1181818181818555E-2</v>
      </c>
    </row>
    <row r="8" spans="1:60" x14ac:dyDescent="0.25">
      <c r="A8" s="3">
        <v>63</v>
      </c>
      <c r="B8" s="27">
        <v>2068328.3940000001</v>
      </c>
      <c r="C8" s="27">
        <v>6163767.9479999999</v>
      </c>
      <c r="D8" s="27">
        <v>328.07600000000002</v>
      </c>
      <c r="E8" s="90" t="s">
        <v>19</v>
      </c>
      <c r="F8" s="54">
        <v>2012</v>
      </c>
      <c r="G8" s="30">
        <v>329.988</v>
      </c>
      <c r="H8" s="54">
        <v>2012</v>
      </c>
      <c r="I8" s="27">
        <v>329.95100000000002</v>
      </c>
      <c r="J8" s="54">
        <v>2023</v>
      </c>
      <c r="K8" s="149"/>
      <c r="L8" s="44"/>
      <c r="M8" s="27">
        <v>329.95100000000002</v>
      </c>
      <c r="N8" s="27">
        <v>329.988</v>
      </c>
      <c r="O8" s="27">
        <v>329.66800000000001</v>
      </c>
      <c r="P8" s="27">
        <v>329.51</v>
      </c>
      <c r="Q8" s="27">
        <v>329.01900000000001</v>
      </c>
      <c r="R8" s="27">
        <v>329.05599999999998</v>
      </c>
      <c r="S8" s="27">
        <v>328.76400000000001</v>
      </c>
      <c r="T8" s="27">
        <v>328.80399999999997</v>
      </c>
      <c r="U8" s="27">
        <v>328.45699999999999</v>
      </c>
      <c r="V8" s="27">
        <v>328.625</v>
      </c>
      <c r="W8" s="27">
        <v>328.70800000000003</v>
      </c>
      <c r="X8" s="27">
        <v>328.99</v>
      </c>
      <c r="Y8" s="27">
        <v>328.89699999999999</v>
      </c>
      <c r="Z8" s="27">
        <v>328.846</v>
      </c>
      <c r="AA8" s="27">
        <v>328.846</v>
      </c>
      <c r="AB8" s="34">
        <v>328.83</v>
      </c>
      <c r="AC8" s="34">
        <v>328.48500000000001</v>
      </c>
      <c r="AD8" s="34">
        <v>328.16399999999999</v>
      </c>
      <c r="AE8" s="47">
        <v>328.13799999999998</v>
      </c>
      <c r="AF8" s="47">
        <v>327.82499999999999</v>
      </c>
      <c r="AG8" s="47">
        <v>327.68400000000003</v>
      </c>
      <c r="AH8" s="47">
        <v>327.952</v>
      </c>
      <c r="AI8" s="47">
        <f t="shared" si="3"/>
        <v>328.07600000000002</v>
      </c>
      <c r="AJ8" s="15"/>
      <c r="AK8" s="27">
        <f>P8-N8</f>
        <v>-0.47800000000000864</v>
      </c>
      <c r="AL8" s="29">
        <f>R8-P8</f>
        <v>-0.45400000000000773</v>
      </c>
      <c r="AM8" s="29">
        <f>T8-R8</f>
        <v>-0.25200000000000955</v>
      </c>
      <c r="AN8" s="29">
        <f>V8-T8</f>
        <v>-0.17899999999997362</v>
      </c>
      <c r="AO8" s="29">
        <f>X8-V8</f>
        <v>0.36500000000000909</v>
      </c>
      <c r="AP8" s="29">
        <f t="shared" si="0"/>
        <v>-0.14400000000000546</v>
      </c>
      <c r="AQ8" s="29">
        <f>AB8-Z8</f>
        <v>-1.6000000000019554E-2</v>
      </c>
      <c r="AR8" s="38">
        <f>AC8-AB8</f>
        <v>-0.34499999999997044</v>
      </c>
      <c r="AS8" s="38">
        <f t="shared" si="4"/>
        <v>-0.34700000000003683</v>
      </c>
      <c r="AT8" s="38">
        <f t="shared" si="5"/>
        <v>-0.45399999999995089</v>
      </c>
      <c r="AU8" s="38">
        <f t="shared" si="6"/>
        <v>0.39199999999999591</v>
      </c>
      <c r="AV8" s="108">
        <f t="shared" si="7"/>
        <v>-0.20945454545454306</v>
      </c>
      <c r="AW8" s="22">
        <f>O8-M8</f>
        <v>-0.28300000000001546</v>
      </c>
      <c r="AX8" s="29">
        <f>Q8-O8</f>
        <v>-0.64900000000000091</v>
      </c>
      <c r="AY8" s="29">
        <f>S8-Q8</f>
        <v>-0.25499999999999545</v>
      </c>
      <c r="AZ8" s="29">
        <f>U8-S8</f>
        <v>-0.30700000000001637</v>
      </c>
      <c r="BA8" s="29">
        <f>W8-U8</f>
        <v>0.2510000000000332</v>
      </c>
      <c r="BB8" s="29">
        <f>Y8-W8</f>
        <v>0.18899999999996453</v>
      </c>
      <c r="BC8" s="29">
        <f t="shared" si="1"/>
        <v>-5.0999999999987722E-2</v>
      </c>
      <c r="BD8" s="29">
        <f t="shared" si="2"/>
        <v>-0.34100000000000819</v>
      </c>
      <c r="BE8" s="29">
        <f t="shared" si="8"/>
        <v>-0.33899999999999864</v>
      </c>
      <c r="BF8" s="29">
        <f t="shared" si="9"/>
        <v>0.12700000000000955</v>
      </c>
      <c r="BG8" s="29">
        <f t="shared" si="10"/>
        <v>-0.10599999999999454</v>
      </c>
      <c r="BH8" s="29">
        <f t="shared" si="11"/>
        <v>-0.18172727272727487</v>
      </c>
    </row>
    <row r="9" spans="1:60" s="37" customFormat="1" x14ac:dyDescent="0.25">
      <c r="A9" s="19">
        <v>101</v>
      </c>
      <c r="B9" s="30">
        <v>2213141.1329999999</v>
      </c>
      <c r="C9" s="30">
        <v>6133281.4380000001</v>
      </c>
      <c r="D9" s="52">
        <v>139.40799999999999</v>
      </c>
      <c r="E9" s="90" t="s">
        <v>20</v>
      </c>
      <c r="F9" s="54">
        <v>2011</v>
      </c>
      <c r="G9" s="30">
        <v>141.79900000000001</v>
      </c>
      <c r="H9" s="54">
        <v>2012</v>
      </c>
      <c r="I9" s="30">
        <v>141.661</v>
      </c>
      <c r="J9" s="54">
        <v>2023</v>
      </c>
      <c r="K9" s="149"/>
      <c r="L9" s="47">
        <v>141.79900000000001</v>
      </c>
      <c r="M9" s="34">
        <v>141.661</v>
      </c>
      <c r="N9" s="34">
        <v>141.72399999999999</v>
      </c>
      <c r="O9" s="34">
        <v>141.54499999999999</v>
      </c>
      <c r="P9" s="34">
        <v>141.47999999999999</v>
      </c>
      <c r="Q9" s="34">
        <v>141.33199999999999</v>
      </c>
      <c r="R9" s="34">
        <v>141.30500000000001</v>
      </c>
      <c r="S9" s="34">
        <v>141.07</v>
      </c>
      <c r="T9" s="34">
        <v>140.96</v>
      </c>
      <c r="U9" s="34">
        <v>140.85599999999999</v>
      </c>
      <c r="V9" s="34"/>
      <c r="W9" s="27">
        <v>140.51499999999999</v>
      </c>
      <c r="X9" s="27">
        <v>140.54</v>
      </c>
      <c r="Y9" s="27">
        <v>140.49100000000001</v>
      </c>
      <c r="Z9" s="27">
        <v>140.36500000000001</v>
      </c>
      <c r="AA9" s="27">
        <v>140.26599999999999</v>
      </c>
      <c r="AB9" s="34"/>
      <c r="AC9" s="34">
        <v>140.01900000000001</v>
      </c>
      <c r="AD9" s="34">
        <v>139.864</v>
      </c>
      <c r="AE9" s="47">
        <v>139.79300000000001</v>
      </c>
      <c r="AF9" s="47">
        <v>139.66900000000001</v>
      </c>
      <c r="AG9" s="47">
        <v>139.46</v>
      </c>
      <c r="AH9" s="47">
        <v>139.434</v>
      </c>
      <c r="AI9" s="47">
        <f t="shared" si="3"/>
        <v>139.40799999999999</v>
      </c>
      <c r="AJ9" s="47">
        <f>N9-L9</f>
        <v>-7.5000000000017053E-2</v>
      </c>
      <c r="AK9" s="34">
        <f>P9-N9</f>
        <v>-0.24399999999999977</v>
      </c>
      <c r="AL9" s="38">
        <f>R9-P9</f>
        <v>-0.17499999999998295</v>
      </c>
      <c r="AM9" s="38">
        <f>T9-R9</f>
        <v>-0.34499999999999886</v>
      </c>
      <c r="AN9" s="38"/>
      <c r="AO9" s="29" t="s">
        <v>21</v>
      </c>
      <c r="AP9" s="29">
        <f t="shared" si="0"/>
        <v>-0.17499999999998295</v>
      </c>
      <c r="AQ9" s="29"/>
      <c r="AR9" s="38"/>
      <c r="AS9" s="38">
        <f t="shared" si="4"/>
        <v>-0.22599999999999909</v>
      </c>
      <c r="AT9" s="38">
        <f t="shared" si="5"/>
        <v>-0.33299999999999841</v>
      </c>
      <c r="AU9" s="38">
        <f t="shared" si="6"/>
        <v>-5.2000000000020918E-2</v>
      </c>
      <c r="AV9" s="14">
        <f t="shared" si="7"/>
        <v>-0.19491666666666654</v>
      </c>
      <c r="AW9" s="39">
        <f>O9-M9</f>
        <v>-0.11600000000001387</v>
      </c>
      <c r="AX9" s="38">
        <f>Q9-O9</f>
        <v>-0.21299999999999386</v>
      </c>
      <c r="AY9" s="38">
        <f>S9-Q9</f>
        <v>-0.26200000000000045</v>
      </c>
      <c r="AZ9" s="38">
        <f>U9-S9</f>
        <v>-0.21399999999999864</v>
      </c>
      <c r="BA9" s="29">
        <f>W9-U9</f>
        <v>-0.34100000000000819</v>
      </c>
      <c r="BB9" s="29">
        <f>Y9-W9</f>
        <v>-2.3999999999972488E-2</v>
      </c>
      <c r="BC9" s="29">
        <f t="shared" si="1"/>
        <v>-0.22500000000002274</v>
      </c>
      <c r="BD9" s="29">
        <f t="shared" si="2"/>
        <v>-0.20099999999999341</v>
      </c>
      <c r="BE9" s="29">
        <f t="shared" si="8"/>
        <v>-0.19499999999999318</v>
      </c>
      <c r="BF9" s="29">
        <f t="shared" si="9"/>
        <v>-0.23500000000001364</v>
      </c>
      <c r="BG9" s="29">
        <f t="shared" si="10"/>
        <v>-0.21500000000000341</v>
      </c>
      <c r="BH9" s="29">
        <f t="shared" si="11"/>
        <v>-0.2024545454545458</v>
      </c>
    </row>
    <row r="10" spans="1:60" s="37" customFormat="1" x14ac:dyDescent="0.25">
      <c r="A10" s="19">
        <v>104</v>
      </c>
      <c r="B10" s="30">
        <v>2167435.8939999999</v>
      </c>
      <c r="C10" s="30">
        <v>6185519.949</v>
      </c>
      <c r="D10" s="52">
        <v>178.643</v>
      </c>
      <c r="E10" s="90" t="s">
        <v>22</v>
      </c>
      <c r="F10" s="54">
        <v>2011</v>
      </c>
      <c r="G10" s="30">
        <v>180.58600000000001</v>
      </c>
      <c r="H10" s="54">
        <v>2017</v>
      </c>
      <c r="I10" s="27">
        <v>179.50399999999999</v>
      </c>
      <c r="J10" s="54">
        <v>2023</v>
      </c>
      <c r="K10" s="149"/>
      <c r="L10" s="47">
        <v>180.58600000000001</v>
      </c>
      <c r="M10" s="33"/>
      <c r="N10" s="33"/>
      <c r="O10" s="33"/>
      <c r="P10" s="33"/>
      <c r="Q10" s="33"/>
      <c r="R10" s="33"/>
      <c r="S10" s="33"/>
      <c r="T10" s="33"/>
      <c r="U10" s="33"/>
      <c r="V10" s="34"/>
      <c r="W10" s="27">
        <v>179.50399999999999</v>
      </c>
      <c r="X10" s="27">
        <v>179.59</v>
      </c>
      <c r="Y10" s="27">
        <v>179.50399999999999</v>
      </c>
      <c r="Z10" s="27">
        <v>179.471</v>
      </c>
      <c r="AA10" s="27">
        <v>179.31800000000001</v>
      </c>
      <c r="AB10" s="34">
        <v>179.32400000000001</v>
      </c>
      <c r="AC10" s="34">
        <v>179.328</v>
      </c>
      <c r="AD10" s="34">
        <v>179.13200000000001</v>
      </c>
      <c r="AE10" s="47">
        <v>179.02799999999999</v>
      </c>
      <c r="AF10" s="47">
        <v>178.93100000000001</v>
      </c>
      <c r="AG10" s="47">
        <v>178.71</v>
      </c>
      <c r="AH10" s="47">
        <v>178.62799999999999</v>
      </c>
      <c r="AI10" s="47">
        <f t="shared" si="3"/>
        <v>178.643</v>
      </c>
      <c r="AJ10" s="48"/>
      <c r="AK10" s="33"/>
      <c r="AL10" s="33"/>
      <c r="AM10" s="33"/>
      <c r="AN10" s="33"/>
      <c r="AO10" s="29" t="s">
        <v>21</v>
      </c>
      <c r="AP10" s="29">
        <f t="shared" si="0"/>
        <v>-0.11899999999999977</v>
      </c>
      <c r="AQ10" s="29">
        <f t="shared" ref="AQ10:AQ17" si="12">AB10-Z10</f>
        <v>-0.14699999999999136</v>
      </c>
      <c r="AR10" s="38">
        <f t="shared" ref="AR10:AR17" si="13">AC10-AB10</f>
        <v>3.9999999999906777E-3</v>
      </c>
      <c r="AS10" s="38">
        <f t="shared" si="4"/>
        <v>-0.30000000000001137</v>
      </c>
      <c r="AT10" s="38">
        <f t="shared" si="5"/>
        <v>-0.31799999999998363</v>
      </c>
      <c r="AU10" s="38">
        <f t="shared" si="6"/>
        <v>-6.7000000000007276E-2</v>
      </c>
      <c r="AV10" s="14">
        <f t="shared" si="7"/>
        <v>-0.15633333333333374</v>
      </c>
      <c r="AW10" s="33"/>
      <c r="AX10" s="33"/>
      <c r="AY10" s="33"/>
      <c r="AZ10" s="33"/>
      <c r="BA10" s="29"/>
      <c r="BB10" s="29"/>
      <c r="BC10" s="29">
        <f t="shared" si="1"/>
        <v>-0.18599999999997863</v>
      </c>
      <c r="BD10" s="29">
        <f t="shared" si="2"/>
        <v>-9.3000000000003524E-2</v>
      </c>
      <c r="BE10" s="29">
        <f t="shared" si="8"/>
        <v>-0.20099999999999341</v>
      </c>
      <c r="BF10" s="29">
        <f t="shared" si="9"/>
        <v>-0.30300000000002569</v>
      </c>
      <c r="BG10" s="29">
        <f t="shared" si="10"/>
        <v>-0.25200000000000955</v>
      </c>
      <c r="BH10" s="28">
        <f t="shared" si="11"/>
        <v>-0.1460000000000008</v>
      </c>
    </row>
    <row r="11" spans="1:60" x14ac:dyDescent="0.25">
      <c r="A11" s="19">
        <v>108</v>
      </c>
      <c r="B11" s="30">
        <v>2342536.7590000001</v>
      </c>
      <c r="C11" s="30">
        <v>6022775.7199999997</v>
      </c>
      <c r="D11" s="52">
        <v>78.402000000000001</v>
      </c>
      <c r="E11" s="90" t="s">
        <v>23</v>
      </c>
      <c r="F11" s="54">
        <v>2011</v>
      </c>
      <c r="G11" s="30">
        <v>79.138000000000005</v>
      </c>
      <c r="H11" s="54">
        <v>2014</v>
      </c>
      <c r="I11" s="27">
        <v>79.072000000000003</v>
      </c>
      <c r="J11" s="54">
        <v>2023</v>
      </c>
      <c r="K11" s="149"/>
      <c r="L11" s="44">
        <v>79.138000000000005</v>
      </c>
      <c r="M11" s="27"/>
      <c r="N11" s="27"/>
      <c r="O11" s="27"/>
      <c r="P11" s="27">
        <v>78.92</v>
      </c>
      <c r="Q11" s="27">
        <v>79.072000000000003</v>
      </c>
      <c r="R11" s="27">
        <v>78.891999999999996</v>
      </c>
      <c r="S11" s="27">
        <v>78.781000000000006</v>
      </c>
      <c r="T11" s="27">
        <v>78.695999999999998</v>
      </c>
      <c r="U11" s="27">
        <v>78.706999999999994</v>
      </c>
      <c r="V11" s="27">
        <v>78.641999999999996</v>
      </c>
      <c r="W11" s="27">
        <v>78.686000000000007</v>
      </c>
      <c r="X11" s="27">
        <v>78.63</v>
      </c>
      <c r="Y11" s="27">
        <v>78.421999999999997</v>
      </c>
      <c r="Z11" s="27">
        <v>78.581000000000003</v>
      </c>
      <c r="AA11" s="27">
        <v>78.659000000000006</v>
      </c>
      <c r="AB11" s="34">
        <v>78.626999999999995</v>
      </c>
      <c r="AC11" s="34">
        <v>78.397999999999996</v>
      </c>
      <c r="AD11" s="34">
        <v>78.37</v>
      </c>
      <c r="AE11" s="47">
        <v>78.275000000000006</v>
      </c>
      <c r="AF11" s="47">
        <v>78.271000000000001</v>
      </c>
      <c r="AG11" s="47">
        <v>78.180999999999997</v>
      </c>
      <c r="AH11" s="47">
        <v>78.259</v>
      </c>
      <c r="AI11" s="47">
        <f t="shared" si="3"/>
        <v>78.402000000000001</v>
      </c>
      <c r="AJ11" s="44"/>
      <c r="AK11" s="27"/>
      <c r="AL11" s="29">
        <f t="shared" ref="AL11:AL25" si="14">R11-P11</f>
        <v>-2.8000000000005798E-2</v>
      </c>
      <c r="AM11" s="29">
        <f t="shared" ref="AM11:AM25" si="15">T11-R11</f>
        <v>-0.19599999999999795</v>
      </c>
      <c r="AN11" s="29">
        <f t="shared" ref="AN11:AN25" si="16">V11-T11</f>
        <v>-5.4000000000002046E-2</v>
      </c>
      <c r="AO11" s="29">
        <f t="shared" ref="AO11:AO25" si="17">X11-V11</f>
        <v>-1.2000000000000455E-2</v>
      </c>
      <c r="AP11" s="29">
        <f t="shared" si="0"/>
        <v>-4.8999999999992383E-2</v>
      </c>
      <c r="AQ11" s="29">
        <f t="shared" si="12"/>
        <v>4.5999999999992269E-2</v>
      </c>
      <c r="AR11" s="38">
        <f t="shared" si="13"/>
        <v>-0.2289999999999992</v>
      </c>
      <c r="AS11" s="38">
        <f t="shared" si="4"/>
        <v>-0.12299999999999045</v>
      </c>
      <c r="AT11" s="38">
        <f t="shared" si="5"/>
        <v>-9.4000000000008299E-2</v>
      </c>
      <c r="AU11" s="38">
        <f t="shared" si="6"/>
        <v>0.22100000000000364</v>
      </c>
      <c r="AV11" s="14">
        <f t="shared" si="7"/>
        <v>-7.9750000000000654E-2</v>
      </c>
      <c r="AW11" s="22"/>
      <c r="AX11" s="28"/>
      <c r="AY11" s="29">
        <f t="shared" ref="AY11:AY25" si="18">S11-Q11</f>
        <v>-0.29099999999999682</v>
      </c>
      <c r="AZ11" s="29">
        <f t="shared" ref="AZ11:AZ25" si="19">U11-S11</f>
        <v>-7.4000000000012278E-2</v>
      </c>
      <c r="BA11" s="29">
        <f>W11-U11</f>
        <v>-2.0999999999986585E-2</v>
      </c>
      <c r="BB11" s="29">
        <f t="shared" ref="BB11:BB24" si="20">Y11-W11</f>
        <v>-0.26400000000001</v>
      </c>
      <c r="BC11" s="29">
        <f t="shared" si="1"/>
        <v>0.23700000000000898</v>
      </c>
      <c r="BD11" s="29">
        <f t="shared" si="2"/>
        <v>-0.14450000000000074</v>
      </c>
      <c r="BE11" s="29">
        <f t="shared" si="8"/>
        <v>-9.9000000000003752E-2</v>
      </c>
      <c r="BF11" s="29">
        <f t="shared" si="9"/>
        <v>-1.2000000000000455E-2</v>
      </c>
      <c r="BG11" s="29">
        <f t="shared" si="10"/>
        <v>-5.5500000000002103E-2</v>
      </c>
      <c r="BH11" s="28">
        <f t="shared" si="11"/>
        <v>-9.0333333333333599E-2</v>
      </c>
    </row>
    <row r="12" spans="1:60" x14ac:dyDescent="0.25">
      <c r="A12" s="3">
        <v>119</v>
      </c>
      <c r="B12" s="27">
        <v>2420921.4580000001</v>
      </c>
      <c r="C12" s="27">
        <v>6035543.2010000004</v>
      </c>
      <c r="D12" s="27">
        <v>111.129</v>
      </c>
      <c r="E12" s="91">
        <v>109.28</v>
      </c>
      <c r="F12" s="54">
        <v>2011</v>
      </c>
      <c r="G12" s="30">
        <v>111.276</v>
      </c>
      <c r="H12" s="54">
        <v>2012</v>
      </c>
      <c r="I12" s="27">
        <v>111.11</v>
      </c>
      <c r="J12" s="54">
        <v>2023</v>
      </c>
      <c r="K12" s="149"/>
      <c r="L12" s="44">
        <v>111.276</v>
      </c>
      <c r="M12" s="27">
        <v>111.11</v>
      </c>
      <c r="N12" s="27">
        <v>111.142</v>
      </c>
      <c r="O12" s="27">
        <v>111.045</v>
      </c>
      <c r="P12" s="27">
        <v>110.98</v>
      </c>
      <c r="Q12" s="27">
        <v>111.133</v>
      </c>
      <c r="R12" s="27">
        <v>111.125</v>
      </c>
      <c r="S12" s="27">
        <v>111.03100000000001</v>
      </c>
      <c r="T12" s="27">
        <v>110.982</v>
      </c>
      <c r="U12" s="27">
        <v>111.116</v>
      </c>
      <c r="V12" s="27">
        <v>111.054</v>
      </c>
      <c r="W12" s="27">
        <v>111.146</v>
      </c>
      <c r="X12" s="27">
        <v>111.03</v>
      </c>
      <c r="Y12" s="27">
        <v>110.84099999999999</v>
      </c>
      <c r="Z12" s="27">
        <v>110.967</v>
      </c>
      <c r="AA12" s="27">
        <v>110.958</v>
      </c>
      <c r="AB12" s="34">
        <v>111.208</v>
      </c>
      <c r="AC12" s="34">
        <v>110.917</v>
      </c>
      <c r="AD12" s="34">
        <v>110.667</v>
      </c>
      <c r="AE12" s="47">
        <v>110.77800000000001</v>
      </c>
      <c r="AF12" s="47">
        <v>110.70699999999999</v>
      </c>
      <c r="AG12" s="47">
        <v>110.676</v>
      </c>
      <c r="AH12" s="47">
        <v>110.809</v>
      </c>
      <c r="AI12" s="47">
        <f t="shared" si="3"/>
        <v>111.129</v>
      </c>
      <c r="AJ12" s="44">
        <f>N12-L12</f>
        <v>-0.13400000000000034</v>
      </c>
      <c r="AK12" s="27">
        <f>P12-N12</f>
        <v>-0.16199999999999193</v>
      </c>
      <c r="AL12" s="29">
        <f t="shared" si="14"/>
        <v>0.14499999999999602</v>
      </c>
      <c r="AM12" s="29">
        <f t="shared" si="15"/>
        <v>-0.14300000000000068</v>
      </c>
      <c r="AN12" s="29">
        <f t="shared" si="16"/>
        <v>7.2000000000002728E-2</v>
      </c>
      <c r="AO12" s="29">
        <f t="shared" si="17"/>
        <v>-2.4000000000000909E-2</v>
      </c>
      <c r="AP12" s="29">
        <f t="shared" si="0"/>
        <v>-6.3000000000002387E-2</v>
      </c>
      <c r="AQ12" s="29">
        <f t="shared" si="12"/>
        <v>0.24099999999999966</v>
      </c>
      <c r="AR12" s="38">
        <f t="shared" si="13"/>
        <v>-0.29099999999999682</v>
      </c>
      <c r="AS12" s="38">
        <f t="shared" si="4"/>
        <v>-0.13899999999999579</v>
      </c>
      <c r="AT12" s="38">
        <f t="shared" si="5"/>
        <v>-0.10200000000000387</v>
      </c>
      <c r="AU12" s="38">
        <f t="shared" si="6"/>
        <v>0.45300000000000296</v>
      </c>
      <c r="AV12" s="14">
        <f t="shared" si="7"/>
        <v>-4.9999999999999524E-2</v>
      </c>
      <c r="AW12" s="22">
        <f>O12-M12</f>
        <v>-6.4999999999997726E-2</v>
      </c>
      <c r="AX12" s="29">
        <f>Q12-O12</f>
        <v>8.7999999999993861E-2</v>
      </c>
      <c r="AY12" s="29">
        <f t="shared" si="18"/>
        <v>-0.10199999999998965</v>
      </c>
      <c r="AZ12" s="29">
        <f t="shared" si="19"/>
        <v>8.4999999999993747E-2</v>
      </c>
      <c r="BA12" s="29">
        <f>W12-U12</f>
        <v>3.0000000000001137E-2</v>
      </c>
      <c r="BB12" s="29">
        <f t="shared" si="20"/>
        <v>-0.30500000000000682</v>
      </c>
      <c r="BC12" s="29">
        <f t="shared" si="1"/>
        <v>0.11700000000000443</v>
      </c>
      <c r="BD12" s="29">
        <f t="shared" si="2"/>
        <v>-0.14549999999999841</v>
      </c>
      <c r="BE12" s="29">
        <f t="shared" si="8"/>
        <v>3.9999999999992042E-2</v>
      </c>
      <c r="BF12" s="29">
        <f t="shared" si="9"/>
        <v>0.10200000000000387</v>
      </c>
      <c r="BG12" s="29">
        <f t="shared" si="10"/>
        <v>7.0999999999997954E-2</v>
      </c>
      <c r="BH12" s="29">
        <f t="shared" si="11"/>
        <v>-2.7363636363636538E-2</v>
      </c>
    </row>
    <row r="13" spans="1:60" x14ac:dyDescent="0.25">
      <c r="A13" s="3">
        <v>120</v>
      </c>
      <c r="B13" s="27">
        <v>2246625.9939999999</v>
      </c>
      <c r="C13" s="27">
        <v>6356803.6529999999</v>
      </c>
      <c r="D13" s="27">
        <v>606.63699999999994</v>
      </c>
      <c r="E13" s="91">
        <v>604.16399999999999</v>
      </c>
      <c r="F13" s="54">
        <v>2011</v>
      </c>
      <c r="G13" s="30">
        <v>606.67899999999997</v>
      </c>
      <c r="H13" s="54">
        <v>2014</v>
      </c>
      <c r="I13" s="27">
        <v>606.673</v>
      </c>
      <c r="J13" s="54">
        <v>2023</v>
      </c>
      <c r="K13" s="149"/>
      <c r="L13" s="44">
        <v>606.67899999999997</v>
      </c>
      <c r="M13" s="27"/>
      <c r="N13" s="27"/>
      <c r="O13" s="27"/>
      <c r="P13" s="27">
        <v>606.61</v>
      </c>
      <c r="Q13" s="27">
        <v>606.673</v>
      </c>
      <c r="R13" s="27">
        <v>606.58100000000002</v>
      </c>
      <c r="S13" s="27">
        <v>606.64599999999996</v>
      </c>
      <c r="T13" s="27">
        <v>606.65300000000002</v>
      </c>
      <c r="U13" s="27">
        <v>606.67700000000002</v>
      </c>
      <c r="V13" s="27">
        <v>606.65499999999997</v>
      </c>
      <c r="W13" s="27">
        <v>606.69299999999998</v>
      </c>
      <c r="X13" s="27">
        <v>606.63</v>
      </c>
      <c r="Y13" s="27">
        <v>606.678</v>
      </c>
      <c r="Z13" s="27">
        <v>606.62099999999998</v>
      </c>
      <c r="AA13" s="27">
        <v>606.66099999999994</v>
      </c>
      <c r="AB13" s="34">
        <v>606.64599999999996</v>
      </c>
      <c r="AC13" s="34">
        <v>606.63300000000004</v>
      </c>
      <c r="AD13" s="34">
        <v>606.79499999999996</v>
      </c>
      <c r="AE13" s="47">
        <v>606.673</v>
      </c>
      <c r="AF13" s="47">
        <v>606.69200000000001</v>
      </c>
      <c r="AG13" s="47">
        <v>606.49300000000005</v>
      </c>
      <c r="AH13" s="47">
        <v>606.66200000000003</v>
      </c>
      <c r="AI13" s="47">
        <f t="shared" si="3"/>
        <v>606.63699999999994</v>
      </c>
      <c r="AJ13" s="44"/>
      <c r="AK13" s="27"/>
      <c r="AL13" s="29">
        <f t="shared" si="14"/>
        <v>-2.8999999999996362E-2</v>
      </c>
      <c r="AM13" s="29">
        <f t="shared" si="15"/>
        <v>7.2000000000002728E-2</v>
      </c>
      <c r="AN13" s="29">
        <f t="shared" si="16"/>
        <v>1.9999999999527063E-3</v>
      </c>
      <c r="AO13" s="29">
        <f t="shared" si="17"/>
        <v>-2.4999999999977263E-2</v>
      </c>
      <c r="AP13" s="29">
        <f t="shared" si="0"/>
        <v>-9.0000000000145519E-3</v>
      </c>
      <c r="AQ13" s="29">
        <f t="shared" si="12"/>
        <v>2.4999999999977263E-2</v>
      </c>
      <c r="AR13" s="38">
        <f t="shared" si="13"/>
        <v>-1.2999999999919964E-2</v>
      </c>
      <c r="AS13" s="38">
        <f t="shared" si="4"/>
        <v>3.999999999996362E-2</v>
      </c>
      <c r="AT13" s="38">
        <f t="shared" si="5"/>
        <v>-0.17999999999994998</v>
      </c>
      <c r="AU13" s="38">
        <f t="shared" si="6"/>
        <v>0.14399999999989177</v>
      </c>
      <c r="AV13" s="14">
        <f t="shared" si="7"/>
        <v>-1.5499999999993483E-2</v>
      </c>
      <c r="AW13" s="22"/>
      <c r="AX13" s="28"/>
      <c r="AY13" s="29">
        <f t="shared" si="18"/>
        <v>-2.7000000000043656E-2</v>
      </c>
      <c r="AZ13" s="29">
        <f t="shared" si="19"/>
        <v>3.1000000000062755E-2</v>
      </c>
      <c r="BA13" s="29">
        <f>W13-U13</f>
        <v>1.5999999999962711E-2</v>
      </c>
      <c r="BB13" s="29">
        <f t="shared" si="20"/>
        <v>-1.4999999999986358E-2</v>
      </c>
      <c r="BC13" s="29">
        <f t="shared" si="1"/>
        <v>-1.7000000000052751E-2</v>
      </c>
      <c r="BD13" s="29">
        <f t="shared" si="2"/>
        <v>6.7000000000007276E-2</v>
      </c>
      <c r="BE13" s="29">
        <f t="shared" si="8"/>
        <v>-0.1029999999999518</v>
      </c>
      <c r="BF13" s="29">
        <f t="shared" si="9"/>
        <v>-2.9999999999972715E-2</v>
      </c>
      <c r="BG13" s="29">
        <f t="shared" si="10"/>
        <v>-6.6499999999962256E-2</v>
      </c>
      <c r="BH13" s="28">
        <f t="shared" si="11"/>
        <v>-1.2222222222185843E-3</v>
      </c>
    </row>
    <row r="14" spans="1:60" x14ac:dyDescent="0.25">
      <c r="A14" s="3">
        <v>121</v>
      </c>
      <c r="B14" s="27">
        <v>2244410.2200000002</v>
      </c>
      <c r="C14" s="27">
        <v>6123306.3080000002</v>
      </c>
      <c r="D14" s="27">
        <v>126.574</v>
      </c>
      <c r="E14" s="90" t="s">
        <v>24</v>
      </c>
      <c r="F14" s="54">
        <v>2011</v>
      </c>
      <c r="G14" s="27">
        <v>129.75700000000001</v>
      </c>
      <c r="H14" s="54">
        <v>2012</v>
      </c>
      <c r="I14" s="27">
        <v>129.51599999999999</v>
      </c>
      <c r="J14" s="54">
        <v>2023</v>
      </c>
      <c r="K14" s="149"/>
      <c r="L14" s="44">
        <v>129.75700000000001</v>
      </c>
      <c r="M14" s="27">
        <v>129.51599999999999</v>
      </c>
      <c r="N14" s="27">
        <v>129.405</v>
      </c>
      <c r="O14" s="27">
        <v>129.08500000000001</v>
      </c>
      <c r="P14" s="27">
        <v>128.93</v>
      </c>
      <c r="Q14" s="27">
        <v>128.703</v>
      </c>
      <c r="R14" s="27">
        <v>128.63999999999999</v>
      </c>
      <c r="S14" s="27">
        <v>128.31399999999999</v>
      </c>
      <c r="T14" s="27">
        <v>128.137</v>
      </c>
      <c r="U14" s="27">
        <v>128.024</v>
      </c>
      <c r="V14" s="27">
        <v>127.79900000000001</v>
      </c>
      <c r="W14" s="27">
        <v>127.68600000000001</v>
      </c>
      <c r="X14" s="27">
        <v>127.64</v>
      </c>
      <c r="Y14" s="27">
        <v>127.51900000000001</v>
      </c>
      <c r="Z14" s="27">
        <v>127.44199999999999</v>
      </c>
      <c r="AA14" s="27">
        <v>127.371</v>
      </c>
      <c r="AB14" s="34">
        <v>127.297</v>
      </c>
      <c r="AC14" s="34">
        <v>127.086</v>
      </c>
      <c r="AD14" s="34">
        <v>126.932</v>
      </c>
      <c r="AE14" s="47">
        <v>126.84399999999999</v>
      </c>
      <c r="AF14" s="47">
        <v>126.721</v>
      </c>
      <c r="AG14" s="47">
        <v>126.554</v>
      </c>
      <c r="AH14" s="47">
        <v>126.489</v>
      </c>
      <c r="AI14" s="47">
        <f t="shared" si="3"/>
        <v>126.574</v>
      </c>
      <c r="AJ14" s="44">
        <f t="shared" ref="AJ14:AJ25" si="21">N14-L14</f>
        <v>-0.35200000000000387</v>
      </c>
      <c r="AK14" s="27">
        <f t="shared" ref="AK14:AK25" si="22">P14-N14</f>
        <v>-0.47499999999999432</v>
      </c>
      <c r="AL14" s="29">
        <f t="shared" si="14"/>
        <v>-0.29000000000002046</v>
      </c>
      <c r="AM14" s="29">
        <f t="shared" si="15"/>
        <v>-0.5029999999999859</v>
      </c>
      <c r="AN14" s="29">
        <f t="shared" si="16"/>
        <v>-0.33799999999999386</v>
      </c>
      <c r="AO14" s="29">
        <f t="shared" si="17"/>
        <v>-0.15900000000000603</v>
      </c>
      <c r="AP14" s="29">
        <f t="shared" si="0"/>
        <v>-0.1980000000000075</v>
      </c>
      <c r="AQ14" s="29">
        <f t="shared" si="12"/>
        <v>-0.14499999999999602</v>
      </c>
      <c r="AR14" s="34">
        <f t="shared" si="13"/>
        <v>-0.21099999999999852</v>
      </c>
      <c r="AS14" s="38">
        <f t="shared" si="4"/>
        <v>-0.24200000000000443</v>
      </c>
      <c r="AT14" s="38">
        <f t="shared" si="5"/>
        <v>-0.28999999999999204</v>
      </c>
      <c r="AU14" s="38">
        <f t="shared" si="6"/>
        <v>1.9999999999996021E-2</v>
      </c>
      <c r="AV14" s="14">
        <f t="shared" si="7"/>
        <v>-0.26691666666666691</v>
      </c>
      <c r="AW14" s="22">
        <f t="shared" ref="AW14:AW25" si="23">O14-M14</f>
        <v>-0.43099999999998317</v>
      </c>
      <c r="AX14" s="29">
        <f t="shared" ref="AX14:AX25" si="24">Q14-O14</f>
        <v>-0.382000000000005</v>
      </c>
      <c r="AY14" s="29">
        <f t="shared" si="18"/>
        <v>-0.38900000000001</v>
      </c>
      <c r="AZ14" s="29">
        <f t="shared" si="19"/>
        <v>-0.28999999999999204</v>
      </c>
      <c r="BA14" s="29">
        <f>W14-U14</f>
        <v>-0.33799999999999386</v>
      </c>
      <c r="BB14" s="29">
        <f t="shared" si="20"/>
        <v>-0.16700000000000159</v>
      </c>
      <c r="BC14" s="29">
        <f t="shared" si="1"/>
        <v>-0.14800000000001035</v>
      </c>
      <c r="BD14" s="29">
        <f t="shared" si="2"/>
        <v>-0.21949999999999648</v>
      </c>
      <c r="BE14" s="29">
        <f t="shared" si="8"/>
        <v>-0.21099999999999852</v>
      </c>
      <c r="BF14" s="29">
        <f t="shared" si="9"/>
        <v>-0.23199999999999932</v>
      </c>
      <c r="BG14" s="29">
        <f t="shared" si="10"/>
        <v>-0.22149999999999892</v>
      </c>
      <c r="BH14" s="29">
        <f t="shared" si="11"/>
        <v>-0.27518181818181697</v>
      </c>
    </row>
    <row r="15" spans="1:60" x14ac:dyDescent="0.25">
      <c r="A15" s="3">
        <v>122</v>
      </c>
      <c r="B15" s="27">
        <v>2166402.6519999998</v>
      </c>
      <c r="C15" s="27">
        <v>6153888.6150000002</v>
      </c>
      <c r="D15" s="27">
        <v>166.691</v>
      </c>
      <c r="E15" s="90" t="s">
        <v>25</v>
      </c>
      <c r="F15" s="54">
        <v>2011</v>
      </c>
      <c r="G15" s="27">
        <v>167.999</v>
      </c>
      <c r="H15" s="54">
        <v>2012</v>
      </c>
      <c r="I15" s="27">
        <v>167.90600000000001</v>
      </c>
      <c r="J15" s="54">
        <v>2023</v>
      </c>
      <c r="K15" s="149"/>
      <c r="L15" s="44">
        <v>167.999</v>
      </c>
      <c r="M15" s="27">
        <v>167.90600000000001</v>
      </c>
      <c r="N15" s="27">
        <v>168</v>
      </c>
      <c r="O15" s="27">
        <v>167.86799999999999</v>
      </c>
      <c r="P15" s="27">
        <v>167.83</v>
      </c>
      <c r="Q15" s="27">
        <v>167.696</v>
      </c>
      <c r="R15" s="27">
        <v>167.71899999999999</v>
      </c>
      <c r="S15" s="27">
        <v>167.54300000000001</v>
      </c>
      <c r="T15" s="27">
        <v>167.46299999999999</v>
      </c>
      <c r="U15" s="27">
        <v>167.42400000000001</v>
      </c>
      <c r="V15" s="27">
        <v>167.274</v>
      </c>
      <c r="W15" s="27">
        <v>167.29300000000001</v>
      </c>
      <c r="X15" s="27">
        <v>167.37</v>
      </c>
      <c r="Y15" s="27">
        <v>167.39599999999999</v>
      </c>
      <c r="Z15" s="27">
        <v>167.31299999999999</v>
      </c>
      <c r="AA15" s="27">
        <v>167.291</v>
      </c>
      <c r="AB15" s="34">
        <v>167.214</v>
      </c>
      <c r="AC15" s="34">
        <v>167.15600000000001</v>
      </c>
      <c r="AD15" s="34">
        <v>167.14699999999999</v>
      </c>
      <c r="AE15" s="47">
        <v>166.98</v>
      </c>
      <c r="AF15" s="47">
        <v>166.89599999999999</v>
      </c>
      <c r="AG15" s="47">
        <v>166.67599999999999</v>
      </c>
      <c r="AH15" s="47">
        <v>166.738</v>
      </c>
      <c r="AI15" s="47">
        <f t="shared" si="3"/>
        <v>166.691</v>
      </c>
      <c r="AJ15" s="44">
        <f t="shared" si="21"/>
        <v>1.0000000000047748E-3</v>
      </c>
      <c r="AK15" s="27">
        <f t="shared" si="22"/>
        <v>-0.16999999999998749</v>
      </c>
      <c r="AL15" s="29">
        <f t="shared" si="14"/>
        <v>-0.11100000000001842</v>
      </c>
      <c r="AM15" s="29">
        <f t="shared" si="15"/>
        <v>-0.25600000000000023</v>
      </c>
      <c r="AN15" s="29">
        <f t="shared" si="16"/>
        <v>-0.18899999999999295</v>
      </c>
      <c r="AO15" s="29">
        <f t="shared" si="17"/>
        <v>9.6000000000003638E-2</v>
      </c>
      <c r="AP15" s="29">
        <f t="shared" si="0"/>
        <v>-5.7000000000016371E-2</v>
      </c>
      <c r="AQ15" s="29">
        <f t="shared" si="12"/>
        <v>-9.8999999999989541E-2</v>
      </c>
      <c r="AR15" s="34">
        <f t="shared" si="13"/>
        <v>-5.7999999999992724E-2</v>
      </c>
      <c r="AS15" s="38">
        <f t="shared" si="4"/>
        <v>-0.17600000000001614</v>
      </c>
      <c r="AT15" s="38">
        <f t="shared" si="5"/>
        <v>-0.30400000000000205</v>
      </c>
      <c r="AU15" s="38">
        <f t="shared" si="6"/>
        <v>1.5000000000014779E-2</v>
      </c>
      <c r="AV15" s="14">
        <f>(AI15-G15)/(2023-F15)</f>
        <v>-0.10899999999999939</v>
      </c>
      <c r="AW15" s="22">
        <f t="shared" si="23"/>
        <v>-3.8000000000010914E-2</v>
      </c>
      <c r="AX15" s="29">
        <f t="shared" si="24"/>
        <v>-0.17199999999999704</v>
      </c>
      <c r="AY15" s="29">
        <f t="shared" si="18"/>
        <v>-0.15299999999999159</v>
      </c>
      <c r="AZ15" s="29">
        <f t="shared" si="19"/>
        <v>-0.11899999999999977</v>
      </c>
      <c r="BA15" s="29">
        <f>W15-U15</f>
        <v>-0.13100000000000023</v>
      </c>
      <c r="BB15" s="29">
        <f t="shared" si="20"/>
        <v>0.10299999999998022</v>
      </c>
      <c r="BC15" s="29">
        <f t="shared" si="1"/>
        <v>-0.10499999999998977</v>
      </c>
      <c r="BD15" s="29">
        <f t="shared" si="2"/>
        <v>-7.2000000000002728E-2</v>
      </c>
      <c r="BE15" s="29">
        <f t="shared" si="8"/>
        <v>-0.25100000000000477</v>
      </c>
      <c r="BF15" s="29">
        <f t="shared" si="9"/>
        <v>-0.15799999999998704</v>
      </c>
      <c r="BG15" s="29">
        <f t="shared" si="10"/>
        <v>-0.20449999999999591</v>
      </c>
      <c r="BH15" s="29">
        <f t="shared" si="11"/>
        <v>-0.10618181818181877</v>
      </c>
    </row>
    <row r="16" spans="1:60" x14ac:dyDescent="0.25">
      <c r="A16" s="3">
        <v>123</v>
      </c>
      <c r="B16" s="27">
        <v>2232691.199</v>
      </c>
      <c r="C16" s="27">
        <v>6167201.693</v>
      </c>
      <c r="D16" s="27">
        <v>157.06200000000001</v>
      </c>
      <c r="E16" s="90" t="s">
        <v>26</v>
      </c>
      <c r="F16" s="54">
        <v>2011</v>
      </c>
      <c r="G16" s="27">
        <v>162.65899999999999</v>
      </c>
      <c r="H16" s="54">
        <v>2012</v>
      </c>
      <c r="I16" s="27">
        <v>162.40299999999999</v>
      </c>
      <c r="J16" s="54">
        <v>2023</v>
      </c>
      <c r="K16" s="149"/>
      <c r="L16" s="44">
        <v>162.65899999999999</v>
      </c>
      <c r="M16" s="27">
        <v>162.40299999999999</v>
      </c>
      <c r="N16" s="27">
        <v>162.35300000000001</v>
      </c>
      <c r="O16" s="27">
        <v>162.14400000000001</v>
      </c>
      <c r="P16" s="27">
        <v>161.84</v>
      </c>
      <c r="Q16" s="27">
        <v>161.626</v>
      </c>
      <c r="R16" s="27">
        <v>161.52600000000001</v>
      </c>
      <c r="S16" s="27">
        <v>161.09399999999999</v>
      </c>
      <c r="T16" s="27">
        <v>160.852</v>
      </c>
      <c r="U16" s="27">
        <v>160.542</v>
      </c>
      <c r="V16" s="27">
        <v>160.249</v>
      </c>
      <c r="W16" s="27">
        <v>159.88999999999999</v>
      </c>
      <c r="X16" s="27">
        <v>159.71</v>
      </c>
      <c r="Y16" s="27">
        <v>159.29300000000001</v>
      </c>
      <c r="Z16" s="27">
        <v>159.11199999999999</v>
      </c>
      <c r="AA16" s="27">
        <v>158.81100000000001</v>
      </c>
      <c r="AB16" s="34">
        <v>158.572</v>
      </c>
      <c r="AC16" s="34">
        <v>158.179</v>
      </c>
      <c r="AD16" s="34">
        <v>157.917</v>
      </c>
      <c r="AE16" s="47">
        <v>157.73400000000001</v>
      </c>
      <c r="AF16" s="47">
        <v>157.50899999999999</v>
      </c>
      <c r="AG16" s="47">
        <v>157.34700000000001</v>
      </c>
      <c r="AH16" s="47">
        <v>157.197</v>
      </c>
      <c r="AI16" s="47">
        <f t="shared" si="3"/>
        <v>157.06200000000001</v>
      </c>
      <c r="AJ16" s="44">
        <f t="shared" si="21"/>
        <v>-0.30599999999998317</v>
      </c>
      <c r="AK16" s="27">
        <f t="shared" si="22"/>
        <v>-0.51300000000000523</v>
      </c>
      <c r="AL16" s="29">
        <f t="shared" si="14"/>
        <v>-0.31399999999999295</v>
      </c>
      <c r="AM16" s="29">
        <f t="shared" si="15"/>
        <v>-0.67400000000000659</v>
      </c>
      <c r="AN16" s="29">
        <f t="shared" si="16"/>
        <v>-0.60300000000000864</v>
      </c>
      <c r="AO16" s="29">
        <f t="shared" si="17"/>
        <v>-0.53899999999998727</v>
      </c>
      <c r="AP16" s="29">
        <f t="shared" si="0"/>
        <v>-0.59800000000001319</v>
      </c>
      <c r="AQ16" s="29">
        <f t="shared" si="12"/>
        <v>-0.53999999999999204</v>
      </c>
      <c r="AR16" s="34">
        <f t="shared" si="13"/>
        <v>-0.39300000000000068</v>
      </c>
      <c r="AS16" s="38">
        <f t="shared" si="4"/>
        <v>-0.44499999999999318</v>
      </c>
      <c r="AT16" s="38">
        <f t="shared" si="5"/>
        <v>-0.38700000000000045</v>
      </c>
      <c r="AU16" s="38">
        <f t="shared" si="6"/>
        <v>-0.28499999999999659</v>
      </c>
      <c r="AV16" s="14">
        <f t="shared" ref="AV16:AV79" si="25">(AI16-G16)/(2023-F16)</f>
        <v>-0.46641666666666498</v>
      </c>
      <c r="AW16" s="22">
        <f t="shared" si="23"/>
        <v>-0.25899999999998613</v>
      </c>
      <c r="AX16" s="29">
        <f t="shared" si="24"/>
        <v>-0.51800000000000068</v>
      </c>
      <c r="AY16" s="29">
        <f t="shared" si="18"/>
        <v>-0.53200000000001069</v>
      </c>
      <c r="AZ16" s="29">
        <f t="shared" si="19"/>
        <v>-0.5519999999999925</v>
      </c>
      <c r="BA16" s="29">
        <f>V16-T16</f>
        <v>-0.60300000000000864</v>
      </c>
      <c r="BB16" s="29">
        <f t="shared" si="20"/>
        <v>-0.59699999999997999</v>
      </c>
      <c r="BC16" s="29">
        <f t="shared" si="1"/>
        <v>-0.48199999999999932</v>
      </c>
      <c r="BD16" s="29">
        <f t="shared" si="2"/>
        <v>-0.44700000000000273</v>
      </c>
      <c r="BE16" s="29">
        <f t="shared" si="8"/>
        <v>-0.40800000000001546</v>
      </c>
      <c r="BF16" s="29">
        <f t="shared" si="9"/>
        <v>-0.3119999999999834</v>
      </c>
      <c r="BG16" s="29">
        <f t="shared" si="10"/>
        <v>-0.35999999999999943</v>
      </c>
      <c r="BH16" s="29">
        <f t="shared" si="11"/>
        <v>-0.47327272727272623</v>
      </c>
    </row>
    <row r="17" spans="1:60" x14ac:dyDescent="0.25">
      <c r="A17" s="3">
        <v>124</v>
      </c>
      <c r="B17" s="27">
        <v>2280839.0660000001</v>
      </c>
      <c r="C17" s="27">
        <v>6138903.2599999998</v>
      </c>
      <c r="D17" s="27">
        <v>144.77600000000001</v>
      </c>
      <c r="E17" s="90" t="s">
        <v>27</v>
      </c>
      <c r="F17" s="54">
        <v>2011</v>
      </c>
      <c r="G17" s="27">
        <v>149.56399999999999</v>
      </c>
      <c r="H17" s="54">
        <v>2012</v>
      </c>
      <c r="I17" s="27">
        <v>149.33699999999999</v>
      </c>
      <c r="J17" s="54">
        <v>2023</v>
      </c>
      <c r="K17" s="149"/>
      <c r="L17" s="44">
        <v>149.56399999999999</v>
      </c>
      <c r="M17" s="27">
        <v>149.33699999999999</v>
      </c>
      <c r="N17" s="27">
        <v>149.31899999999999</v>
      </c>
      <c r="O17" s="27">
        <v>148.899</v>
      </c>
      <c r="P17" s="27">
        <v>148.68</v>
      </c>
      <c r="Q17" s="27">
        <v>148.22399999999999</v>
      </c>
      <c r="R17" s="27">
        <v>148.08699999999999</v>
      </c>
      <c r="S17" s="27">
        <v>147.33000000000001</v>
      </c>
      <c r="T17" s="27">
        <v>147.137</v>
      </c>
      <c r="U17" s="27">
        <v>146.95599999999999</v>
      </c>
      <c r="V17" s="27">
        <v>146.721</v>
      </c>
      <c r="W17" s="27">
        <v>146.58799999999999</v>
      </c>
      <c r="X17" s="27">
        <v>146.55000000000001</v>
      </c>
      <c r="Y17" s="27">
        <v>146.233</v>
      </c>
      <c r="Z17" s="27">
        <v>146.23699999999999</v>
      </c>
      <c r="AA17" s="27">
        <v>146.047</v>
      </c>
      <c r="AB17" s="34">
        <v>146.078</v>
      </c>
      <c r="AC17" s="34">
        <v>145.77199999999999</v>
      </c>
      <c r="AD17" s="34">
        <v>145.38399999999999</v>
      </c>
      <c r="AE17" s="47">
        <v>145.34200000000001</v>
      </c>
      <c r="AF17" s="47">
        <v>144.898</v>
      </c>
      <c r="AG17" s="47">
        <v>144.714</v>
      </c>
      <c r="AH17" s="47">
        <v>144.744</v>
      </c>
      <c r="AI17" s="47">
        <f t="shared" si="3"/>
        <v>144.77600000000001</v>
      </c>
      <c r="AJ17" s="44">
        <f t="shared" si="21"/>
        <v>-0.24500000000000455</v>
      </c>
      <c r="AK17" s="27">
        <f t="shared" si="22"/>
        <v>-0.63899999999998158</v>
      </c>
      <c r="AL17" s="29">
        <f t="shared" si="14"/>
        <v>-0.59300000000001774</v>
      </c>
      <c r="AM17" s="29">
        <f t="shared" si="15"/>
        <v>-0.94999999999998863</v>
      </c>
      <c r="AN17" s="29">
        <f t="shared" si="16"/>
        <v>-0.41599999999999682</v>
      </c>
      <c r="AO17" s="29">
        <f t="shared" si="17"/>
        <v>-0.17099999999999227</v>
      </c>
      <c r="AP17" s="29">
        <f t="shared" si="0"/>
        <v>-0.3130000000000166</v>
      </c>
      <c r="AQ17" s="29">
        <f t="shared" si="12"/>
        <v>-0.15899999999999181</v>
      </c>
      <c r="AR17" s="34">
        <f t="shared" si="13"/>
        <v>-0.3060000000000116</v>
      </c>
      <c r="AS17" s="38">
        <f t="shared" si="4"/>
        <v>-0.4299999999999784</v>
      </c>
      <c r="AT17" s="38">
        <f>AG17-AE17</f>
        <v>-0.62800000000001432</v>
      </c>
      <c r="AU17" s="38">
        <f t="shared" si="6"/>
        <v>6.2000000000011823E-2</v>
      </c>
      <c r="AV17" s="14">
        <f t="shared" si="25"/>
        <v>-0.39899999999999852</v>
      </c>
      <c r="AW17" s="22">
        <f t="shared" si="23"/>
        <v>-0.43799999999998818</v>
      </c>
      <c r="AX17" s="29">
        <f t="shared" si="24"/>
        <v>-0.67500000000001137</v>
      </c>
      <c r="AY17" s="29">
        <f t="shared" si="18"/>
        <v>-0.89399999999997704</v>
      </c>
      <c r="AZ17" s="29">
        <f t="shared" si="19"/>
        <v>-0.37400000000002365</v>
      </c>
      <c r="BA17" s="29">
        <f t="shared" ref="BA17:BA25" si="26">W17-U17</f>
        <v>-0.367999999999995</v>
      </c>
      <c r="BB17" s="29">
        <f t="shared" si="20"/>
        <v>-0.35499999999998977</v>
      </c>
      <c r="BC17" s="29">
        <f t="shared" si="1"/>
        <v>-0.18600000000000705</v>
      </c>
      <c r="BD17" s="29">
        <f t="shared" si="2"/>
        <v>-0.33150000000000546</v>
      </c>
      <c r="BE17" s="29">
        <f t="shared" si="8"/>
        <v>-0.48599999999999</v>
      </c>
      <c r="BF17" s="29">
        <f t="shared" si="9"/>
        <v>-0.15399999999999636</v>
      </c>
      <c r="BG17" s="29">
        <f t="shared" si="10"/>
        <v>-0.31999999999999318</v>
      </c>
      <c r="BH17" s="29">
        <f t="shared" si="11"/>
        <v>-0.41754545454545355</v>
      </c>
    </row>
    <row r="18" spans="1:60" x14ac:dyDescent="0.25">
      <c r="A18" s="36">
        <v>125</v>
      </c>
      <c r="B18" s="146" t="s">
        <v>28</v>
      </c>
      <c r="C18" s="146"/>
      <c r="D18" s="146"/>
      <c r="E18" s="90" t="s">
        <v>29</v>
      </c>
      <c r="F18" s="54">
        <v>2011</v>
      </c>
      <c r="G18" s="27">
        <v>184.18100000000001</v>
      </c>
      <c r="H18" s="54">
        <v>2012</v>
      </c>
      <c r="I18" s="27">
        <v>184.072</v>
      </c>
      <c r="J18" s="54">
        <v>2023</v>
      </c>
      <c r="K18" s="149"/>
      <c r="L18" s="44">
        <v>184.18100000000001</v>
      </c>
      <c r="M18" s="27">
        <v>184.072</v>
      </c>
      <c r="N18" s="27">
        <v>184.12899999999999</v>
      </c>
      <c r="O18" s="27">
        <v>184.02699999999999</v>
      </c>
      <c r="P18" s="27">
        <v>183.97</v>
      </c>
      <c r="Q18" s="27">
        <v>183.85599999999999</v>
      </c>
      <c r="R18" s="27">
        <v>183.87799999999999</v>
      </c>
      <c r="S18" s="27">
        <v>183.73</v>
      </c>
      <c r="T18" s="27">
        <v>183.66</v>
      </c>
      <c r="U18" s="27">
        <v>183.65600000000001</v>
      </c>
      <c r="V18" s="27">
        <v>183.48400000000001</v>
      </c>
      <c r="W18" s="27">
        <v>183.48</v>
      </c>
      <c r="X18" s="27">
        <v>183.51</v>
      </c>
      <c r="Y18" s="27">
        <v>183.435</v>
      </c>
      <c r="Z18" s="27">
        <v>183.36199999999999</v>
      </c>
      <c r="AA18" s="27">
        <v>183.30199999999999</v>
      </c>
      <c r="AB18" s="115"/>
      <c r="AC18" s="115"/>
      <c r="AD18" s="115"/>
      <c r="AE18" s="118"/>
      <c r="AF18" s="118"/>
      <c r="AG18" s="118"/>
      <c r="AH18" s="118"/>
      <c r="AI18" s="121"/>
      <c r="AJ18" s="44">
        <f t="shared" si="21"/>
        <v>-5.2000000000020918E-2</v>
      </c>
      <c r="AK18" s="27">
        <f t="shared" si="22"/>
        <v>-0.15899999999999181</v>
      </c>
      <c r="AL18" s="29">
        <f t="shared" si="14"/>
        <v>-9.200000000001296E-2</v>
      </c>
      <c r="AM18" s="29">
        <f t="shared" si="15"/>
        <v>-0.21799999999998931</v>
      </c>
      <c r="AN18" s="29">
        <f t="shared" si="16"/>
        <v>-0.17599999999998772</v>
      </c>
      <c r="AO18" s="29">
        <f t="shared" si="17"/>
        <v>2.5999999999982037E-2</v>
      </c>
      <c r="AP18" s="29">
        <f t="shared" si="0"/>
        <v>-0.14799999999999613</v>
      </c>
      <c r="AQ18" s="51"/>
      <c r="AR18" s="115"/>
      <c r="AS18" s="115"/>
      <c r="AT18" s="118"/>
      <c r="AU18" s="121"/>
      <c r="AV18" s="167"/>
      <c r="AW18" s="22">
        <f t="shared" si="23"/>
        <v>-4.5000000000015916E-2</v>
      </c>
      <c r="AX18" s="29">
        <f t="shared" si="24"/>
        <v>-0.17099999999999227</v>
      </c>
      <c r="AY18" s="29">
        <f t="shared" si="18"/>
        <v>-0.12600000000000477</v>
      </c>
      <c r="AZ18" s="29">
        <f t="shared" si="19"/>
        <v>-7.3999999999983856E-2</v>
      </c>
      <c r="BA18" s="29">
        <f t="shared" si="26"/>
        <v>-0.17600000000001614</v>
      </c>
      <c r="BB18" s="29">
        <f t="shared" si="20"/>
        <v>-4.4999999999987494E-2</v>
      </c>
      <c r="BC18" s="29">
        <f t="shared" si="1"/>
        <v>-0.13300000000000978</v>
      </c>
      <c r="BD18" s="115"/>
      <c r="BE18" s="115"/>
      <c r="BF18" s="115"/>
      <c r="BG18" s="115"/>
      <c r="BH18" s="115"/>
    </row>
    <row r="19" spans="1:60" x14ac:dyDescent="0.25">
      <c r="A19" s="3">
        <v>126</v>
      </c>
      <c r="B19" s="27">
        <v>2355392.807</v>
      </c>
      <c r="C19" s="27">
        <v>6132094.6749999998</v>
      </c>
      <c r="D19" s="27">
        <v>167.13200000000001</v>
      </c>
      <c r="E19" s="90" t="s">
        <v>30</v>
      </c>
      <c r="F19" s="54">
        <v>2011</v>
      </c>
      <c r="G19" s="27">
        <v>167.376</v>
      </c>
      <c r="H19" s="54">
        <v>2012</v>
      </c>
      <c r="I19" s="27">
        <v>167.291</v>
      </c>
      <c r="J19" s="54">
        <v>2023</v>
      </c>
      <c r="K19" s="149"/>
      <c r="L19" s="44">
        <v>167.376</v>
      </c>
      <c r="M19" s="27">
        <v>167.291</v>
      </c>
      <c r="N19" s="27">
        <v>167.29300000000001</v>
      </c>
      <c r="O19" s="27">
        <v>167.286</v>
      </c>
      <c r="P19" s="27">
        <v>167.17</v>
      </c>
      <c r="Q19" s="27">
        <v>167.27699999999999</v>
      </c>
      <c r="R19" s="27">
        <v>167.35</v>
      </c>
      <c r="S19" s="27">
        <v>167.178</v>
      </c>
      <c r="T19" s="27">
        <v>167.12299999999999</v>
      </c>
      <c r="U19" s="27">
        <v>167.33799999999999</v>
      </c>
      <c r="V19" s="27">
        <v>167.179</v>
      </c>
      <c r="W19" s="27">
        <v>167.25800000000001</v>
      </c>
      <c r="X19" s="27">
        <v>167.16</v>
      </c>
      <c r="Y19" s="27">
        <v>167.11099999999999</v>
      </c>
      <c r="Z19" s="27">
        <v>167.16</v>
      </c>
      <c r="AA19" s="27">
        <v>167.167</v>
      </c>
      <c r="AB19" s="34">
        <v>167.21</v>
      </c>
      <c r="AC19" s="34">
        <v>167.11</v>
      </c>
      <c r="AD19" s="34">
        <v>166.99100000000001</v>
      </c>
      <c r="AE19" s="60">
        <v>167.05199999999999</v>
      </c>
      <c r="AF19" s="60">
        <v>167.01900000000001</v>
      </c>
      <c r="AG19" s="60">
        <v>166.90799999999999</v>
      </c>
      <c r="AH19" s="60">
        <v>167.01300000000001</v>
      </c>
      <c r="AI19" s="60">
        <f>D19</f>
        <v>167.13200000000001</v>
      </c>
      <c r="AJ19" s="44">
        <f t="shared" si="21"/>
        <v>-8.2999999999998408E-2</v>
      </c>
      <c r="AK19" s="27">
        <f t="shared" si="22"/>
        <v>-0.12300000000001887</v>
      </c>
      <c r="AL19" s="29">
        <f t="shared" si="14"/>
        <v>0.18000000000000682</v>
      </c>
      <c r="AM19" s="29">
        <f t="shared" si="15"/>
        <v>-0.22700000000000387</v>
      </c>
      <c r="AN19" s="29">
        <f t="shared" si="16"/>
        <v>5.6000000000011596E-2</v>
      </c>
      <c r="AO19" s="29">
        <f t="shared" si="17"/>
        <v>-1.9000000000005457E-2</v>
      </c>
      <c r="AP19" s="29">
        <f t="shared" si="0"/>
        <v>0</v>
      </c>
      <c r="AQ19" s="29">
        <f t="shared" ref="AQ19:AQ24" si="27">AB19-Z19</f>
        <v>5.0000000000011369E-2</v>
      </c>
      <c r="AR19" s="34">
        <f t="shared" ref="AR19:AR24" si="28">AC19-AB19</f>
        <v>-9.9999999999994316E-2</v>
      </c>
      <c r="AS19" s="38">
        <f t="shared" ref="AS19:AS24" si="29">AE19-AC19</f>
        <v>-5.8000000000021146E-2</v>
      </c>
      <c r="AT19" s="38">
        <f>AG19-AE19</f>
        <v>-0.14400000000000546</v>
      </c>
      <c r="AU19" s="38">
        <f t="shared" si="6"/>
        <v>0.22400000000001796</v>
      </c>
      <c r="AV19" s="14">
        <f t="shared" si="25"/>
        <v>-2.0333333333333314E-2</v>
      </c>
      <c r="AW19" s="22">
        <f t="shared" si="23"/>
        <v>-4.9999999999954525E-3</v>
      </c>
      <c r="AX19" s="29">
        <f t="shared" si="24"/>
        <v>-9.0000000000145519E-3</v>
      </c>
      <c r="AY19" s="29">
        <f t="shared" si="18"/>
        <v>-9.8999999999989541E-2</v>
      </c>
      <c r="AZ19" s="29">
        <f t="shared" si="19"/>
        <v>0.15999999999999659</v>
      </c>
      <c r="BA19" s="29">
        <f t="shared" si="26"/>
        <v>-7.9999999999984084E-2</v>
      </c>
      <c r="BB19" s="29">
        <f t="shared" si="20"/>
        <v>-0.14700000000001978</v>
      </c>
      <c r="BC19" s="29">
        <f t="shared" si="1"/>
        <v>5.6000000000011596E-2</v>
      </c>
      <c r="BD19" s="29">
        <f t="shared" ref="BD19:BD24" si="30">(AD19-AA19)/2</f>
        <v>-8.7999999999993861E-2</v>
      </c>
      <c r="BE19" s="29">
        <f t="shared" ref="BE19:BE24" si="31">AF19-AD19</f>
        <v>2.7999999999991587E-2</v>
      </c>
      <c r="BF19" s="29">
        <f t="shared" ref="BF19:BF24" si="32">AH19-AF19</f>
        <v>-6.0000000000002274E-3</v>
      </c>
      <c r="BG19" s="29">
        <f t="shared" ref="BG19:BG24" si="33">(AH19-AD19)/2</f>
        <v>1.099999999999568E-2</v>
      </c>
      <c r="BH19" s="29">
        <f t="shared" ref="BH19:BH24" si="34">(AH19-$I19)/(2023-$H19)</f>
        <v>-2.5272727272726506E-2</v>
      </c>
    </row>
    <row r="20" spans="1:60" x14ac:dyDescent="0.25">
      <c r="A20" s="3">
        <v>127</v>
      </c>
      <c r="B20" s="27">
        <v>2195250.7390000001</v>
      </c>
      <c r="C20" s="27">
        <v>6199772.7259999998</v>
      </c>
      <c r="D20" s="27">
        <v>180.87799999999999</v>
      </c>
      <c r="E20" s="90" t="s">
        <v>31</v>
      </c>
      <c r="F20" s="54">
        <v>2011</v>
      </c>
      <c r="G20" s="27">
        <v>182.87200000000001</v>
      </c>
      <c r="H20" s="54">
        <v>2012</v>
      </c>
      <c r="I20" s="27">
        <v>182.89500000000001</v>
      </c>
      <c r="J20" s="54">
        <v>2023</v>
      </c>
      <c r="K20" s="149"/>
      <c r="L20" s="44">
        <v>182.87200000000001</v>
      </c>
      <c r="M20" s="27">
        <v>182.89500000000001</v>
      </c>
      <c r="N20" s="27">
        <v>182.821</v>
      </c>
      <c r="O20" s="27">
        <v>182.73599999999999</v>
      </c>
      <c r="P20" s="27">
        <v>182.64</v>
      </c>
      <c r="Q20" s="27">
        <v>182.49799999999999</v>
      </c>
      <c r="R20" s="27">
        <v>182.52500000000001</v>
      </c>
      <c r="S20" s="27">
        <v>182.393</v>
      </c>
      <c r="T20" s="27">
        <v>182.30099999999999</v>
      </c>
      <c r="U20" s="27">
        <v>182.19200000000001</v>
      </c>
      <c r="V20" s="27">
        <v>182.09</v>
      </c>
      <c r="W20" s="27">
        <v>181.91200000000001</v>
      </c>
      <c r="X20" s="27">
        <v>181.93</v>
      </c>
      <c r="Y20" s="27">
        <v>181.84299999999999</v>
      </c>
      <c r="Z20" s="27">
        <v>181.738</v>
      </c>
      <c r="AA20" s="27">
        <v>181.69499999999999</v>
      </c>
      <c r="AB20" s="34">
        <v>181.572</v>
      </c>
      <c r="AC20" s="34">
        <v>181.489</v>
      </c>
      <c r="AD20" s="34">
        <v>181.38800000000001</v>
      </c>
      <c r="AE20" s="47">
        <v>181.28100000000001</v>
      </c>
      <c r="AF20" s="47">
        <v>181.184</v>
      </c>
      <c r="AG20" s="47">
        <v>181.00200000000001</v>
      </c>
      <c r="AH20" s="47">
        <v>180.89500000000001</v>
      </c>
      <c r="AI20" s="60">
        <f t="shared" ref="AI20:AI24" si="35">D20</f>
        <v>180.87799999999999</v>
      </c>
      <c r="AJ20" s="44">
        <f t="shared" si="21"/>
        <v>-5.1000000000016144E-2</v>
      </c>
      <c r="AK20" s="27">
        <f t="shared" si="22"/>
        <v>-0.1810000000000116</v>
      </c>
      <c r="AL20" s="29">
        <f t="shared" si="14"/>
        <v>-0.11499999999998067</v>
      </c>
      <c r="AM20" s="29">
        <f t="shared" si="15"/>
        <v>-0.22400000000001796</v>
      </c>
      <c r="AN20" s="29">
        <f t="shared" si="16"/>
        <v>-0.21099999999998431</v>
      </c>
      <c r="AO20" s="29">
        <f t="shared" si="17"/>
        <v>-0.15999999999999659</v>
      </c>
      <c r="AP20" s="29">
        <f t="shared" si="0"/>
        <v>-0.19200000000000728</v>
      </c>
      <c r="AQ20" s="29">
        <f t="shared" si="27"/>
        <v>-0.16599999999999682</v>
      </c>
      <c r="AR20" s="34">
        <f t="shared" si="28"/>
        <v>-8.2999999999998408E-2</v>
      </c>
      <c r="AS20" s="38">
        <f t="shared" si="29"/>
        <v>-0.20799999999999841</v>
      </c>
      <c r="AT20" s="38">
        <f t="shared" ref="AT20:AT24" si="36">AG20-AE20</f>
        <v>-0.27899999999999636</v>
      </c>
      <c r="AU20" s="38">
        <f t="shared" si="6"/>
        <v>-0.12400000000002365</v>
      </c>
      <c r="AV20" s="14">
        <f t="shared" si="25"/>
        <v>-0.16616666666666902</v>
      </c>
      <c r="AW20" s="22">
        <f t="shared" si="23"/>
        <v>-0.15900000000002024</v>
      </c>
      <c r="AX20" s="29">
        <f t="shared" si="24"/>
        <v>-0.23799999999999955</v>
      </c>
      <c r="AY20" s="29">
        <f t="shared" si="18"/>
        <v>-0.10499999999998977</v>
      </c>
      <c r="AZ20" s="29">
        <f t="shared" si="19"/>
        <v>-0.20099999999999341</v>
      </c>
      <c r="BA20" s="29">
        <f t="shared" si="26"/>
        <v>-0.28000000000000114</v>
      </c>
      <c r="BB20" s="29">
        <f t="shared" si="20"/>
        <v>-6.9000000000016826E-2</v>
      </c>
      <c r="BC20" s="29">
        <f t="shared" si="1"/>
        <v>-0.14799999999999613</v>
      </c>
      <c r="BD20" s="29">
        <f t="shared" si="30"/>
        <v>-0.15349999999999397</v>
      </c>
      <c r="BE20" s="29">
        <f t="shared" si="31"/>
        <v>-0.20400000000000773</v>
      </c>
      <c r="BF20" s="29">
        <f t="shared" si="32"/>
        <v>-0.28899999999998727</v>
      </c>
      <c r="BG20" s="29">
        <f t="shared" si="33"/>
        <v>-0.2464999999999975</v>
      </c>
      <c r="BH20" s="29">
        <f t="shared" si="34"/>
        <v>-0.18181818181818182</v>
      </c>
    </row>
    <row r="21" spans="1:60" x14ac:dyDescent="0.25">
      <c r="A21" s="19">
        <v>128</v>
      </c>
      <c r="B21" s="30">
        <v>2114491.8259999999</v>
      </c>
      <c r="C21" s="30">
        <v>6074855.6739999996</v>
      </c>
      <c r="D21" s="56">
        <v>619.26</v>
      </c>
      <c r="E21" s="64" t="s">
        <v>32</v>
      </c>
      <c r="F21" s="54">
        <v>2011</v>
      </c>
      <c r="G21" s="27">
        <v>619.25699999999995</v>
      </c>
      <c r="H21" s="54">
        <v>2012</v>
      </c>
      <c r="I21" s="27">
        <v>619.26</v>
      </c>
      <c r="J21" s="54">
        <v>2023</v>
      </c>
      <c r="K21" s="149"/>
      <c r="L21" s="44">
        <v>619.25699999999995</v>
      </c>
      <c r="M21" s="27">
        <v>619.26</v>
      </c>
      <c r="N21" s="27">
        <v>619.26</v>
      </c>
      <c r="O21" s="27">
        <v>619.26</v>
      </c>
      <c r="P21" s="27">
        <v>619.26</v>
      </c>
      <c r="Q21" s="27">
        <v>619.26</v>
      </c>
      <c r="R21" s="27">
        <v>619.29999999999995</v>
      </c>
      <c r="S21" s="27">
        <v>619.29999999999995</v>
      </c>
      <c r="T21" s="27">
        <v>619.26</v>
      </c>
      <c r="U21" s="27">
        <v>619.26</v>
      </c>
      <c r="V21" s="34">
        <v>619.26</v>
      </c>
      <c r="W21" s="27">
        <v>619.26</v>
      </c>
      <c r="X21" s="27">
        <v>619.26</v>
      </c>
      <c r="Y21" s="27">
        <v>619.26</v>
      </c>
      <c r="Z21" s="27">
        <v>619.26</v>
      </c>
      <c r="AA21" s="27">
        <v>619.26</v>
      </c>
      <c r="AB21" s="34">
        <v>619.26</v>
      </c>
      <c r="AC21" s="34">
        <v>619.26</v>
      </c>
      <c r="AD21" s="34">
        <v>619.26</v>
      </c>
      <c r="AE21" s="47">
        <v>619.26</v>
      </c>
      <c r="AF21" s="47">
        <v>619.29999999999995</v>
      </c>
      <c r="AG21" s="47">
        <v>619.26</v>
      </c>
      <c r="AH21" s="47">
        <v>619.26</v>
      </c>
      <c r="AI21" s="60">
        <f t="shared" si="35"/>
        <v>619.26</v>
      </c>
      <c r="AJ21" s="44">
        <f t="shared" si="21"/>
        <v>3.0000000000427463E-3</v>
      </c>
      <c r="AK21" s="27">
        <f t="shared" si="22"/>
        <v>0</v>
      </c>
      <c r="AL21" s="29">
        <f t="shared" si="14"/>
        <v>3.999999999996362E-2</v>
      </c>
      <c r="AM21" s="29">
        <f t="shared" si="15"/>
        <v>-3.999999999996362E-2</v>
      </c>
      <c r="AN21" s="29">
        <f t="shared" si="16"/>
        <v>0</v>
      </c>
      <c r="AO21" s="29">
        <f t="shared" si="17"/>
        <v>0</v>
      </c>
      <c r="AP21" s="29">
        <f t="shared" si="0"/>
        <v>0</v>
      </c>
      <c r="AQ21" s="29">
        <f t="shared" si="27"/>
        <v>0</v>
      </c>
      <c r="AR21" s="34">
        <f t="shared" si="28"/>
        <v>0</v>
      </c>
      <c r="AS21" s="38">
        <f t="shared" si="29"/>
        <v>0</v>
      </c>
      <c r="AT21" s="38">
        <f t="shared" si="36"/>
        <v>0</v>
      </c>
      <c r="AU21" s="38">
        <f t="shared" si="6"/>
        <v>0</v>
      </c>
      <c r="AV21" s="14">
        <f t="shared" si="25"/>
        <v>2.5000000000356221E-4</v>
      </c>
      <c r="AW21" s="22">
        <f t="shared" si="23"/>
        <v>0</v>
      </c>
      <c r="AX21" s="29">
        <f t="shared" si="24"/>
        <v>0</v>
      </c>
      <c r="AY21" s="29">
        <f t="shared" si="18"/>
        <v>3.999999999996362E-2</v>
      </c>
      <c r="AZ21" s="29">
        <f t="shared" si="19"/>
        <v>-3.999999999996362E-2</v>
      </c>
      <c r="BA21" s="29">
        <f t="shared" si="26"/>
        <v>0</v>
      </c>
      <c r="BB21" s="29">
        <f t="shared" si="20"/>
        <v>0</v>
      </c>
      <c r="BC21" s="29">
        <f t="shared" si="1"/>
        <v>0</v>
      </c>
      <c r="BD21" s="29">
        <f t="shared" si="30"/>
        <v>0</v>
      </c>
      <c r="BE21" s="29">
        <f t="shared" si="31"/>
        <v>3.999999999996362E-2</v>
      </c>
      <c r="BF21" s="29">
        <f t="shared" si="32"/>
        <v>-3.999999999996362E-2</v>
      </c>
      <c r="BG21" s="29">
        <f t="shared" si="33"/>
        <v>0</v>
      </c>
      <c r="BH21" s="29">
        <f t="shared" si="34"/>
        <v>0</v>
      </c>
    </row>
    <row r="22" spans="1:60" x14ac:dyDescent="0.25">
      <c r="A22" s="3">
        <v>129</v>
      </c>
      <c r="B22" s="27">
        <v>2198475.3650000002</v>
      </c>
      <c r="C22" s="27">
        <v>6133714.1569999997</v>
      </c>
      <c r="D22" s="27">
        <v>144.33199999999999</v>
      </c>
      <c r="E22" s="90" t="s">
        <v>33</v>
      </c>
      <c r="F22" s="54">
        <v>2011</v>
      </c>
      <c r="G22" s="27">
        <v>146.36099999999999</v>
      </c>
      <c r="H22" s="54">
        <v>2012</v>
      </c>
      <c r="I22" s="27">
        <v>146.28</v>
      </c>
      <c r="J22" s="54">
        <v>2023</v>
      </c>
      <c r="K22" s="149"/>
      <c r="L22" s="44">
        <v>146.36099999999999</v>
      </c>
      <c r="M22" s="27">
        <v>146.28</v>
      </c>
      <c r="N22" s="27">
        <v>146.29300000000001</v>
      </c>
      <c r="O22" s="27">
        <v>146.18199999999999</v>
      </c>
      <c r="P22" s="27">
        <v>146.07</v>
      </c>
      <c r="Q22" s="27">
        <v>145.96199999999999</v>
      </c>
      <c r="R22" s="27">
        <v>145.98500000000001</v>
      </c>
      <c r="S22" s="27">
        <v>145.77199999999999</v>
      </c>
      <c r="T22" s="27">
        <v>145.715</v>
      </c>
      <c r="U22" s="27">
        <v>145.57499999999999</v>
      </c>
      <c r="V22" s="27">
        <v>145.43700000000001</v>
      </c>
      <c r="W22" s="27">
        <v>145.422</v>
      </c>
      <c r="X22" s="27">
        <v>145.41999999999999</v>
      </c>
      <c r="Y22" s="27">
        <v>145.35400000000001</v>
      </c>
      <c r="Z22" s="27">
        <v>145.28399999999999</v>
      </c>
      <c r="AA22" s="27">
        <v>145.19399999999999</v>
      </c>
      <c r="AB22" s="34">
        <v>145.11699999999999</v>
      </c>
      <c r="AC22" s="34">
        <v>144.95500000000001</v>
      </c>
      <c r="AD22" s="34">
        <v>144.85</v>
      </c>
      <c r="AE22" s="47">
        <v>144.77600000000001</v>
      </c>
      <c r="AF22" s="47">
        <v>144.672</v>
      </c>
      <c r="AG22" s="47">
        <v>144.45099999999999</v>
      </c>
      <c r="AH22" s="47">
        <v>144.41</v>
      </c>
      <c r="AI22" s="60">
        <f t="shared" si="35"/>
        <v>144.33199999999999</v>
      </c>
      <c r="AJ22" s="44">
        <f t="shared" si="21"/>
        <v>-6.7999999999983629E-2</v>
      </c>
      <c r="AK22" s="27">
        <f t="shared" si="22"/>
        <v>-0.22300000000001319</v>
      </c>
      <c r="AL22" s="29">
        <f t="shared" si="14"/>
        <v>-8.4999999999979536E-2</v>
      </c>
      <c r="AM22" s="29">
        <f t="shared" si="15"/>
        <v>-0.27000000000001023</v>
      </c>
      <c r="AN22" s="29">
        <f t="shared" si="16"/>
        <v>-0.27799999999999159</v>
      </c>
      <c r="AO22" s="29">
        <f t="shared" si="17"/>
        <v>-1.7000000000024329E-2</v>
      </c>
      <c r="AP22" s="29">
        <f t="shared" si="0"/>
        <v>-0.13599999999999568</v>
      </c>
      <c r="AQ22" s="29">
        <f t="shared" si="27"/>
        <v>-0.16700000000000159</v>
      </c>
      <c r="AR22" s="34">
        <f t="shared" si="28"/>
        <v>-0.16199999999997772</v>
      </c>
      <c r="AS22" s="38">
        <f t="shared" si="29"/>
        <v>-0.17900000000000205</v>
      </c>
      <c r="AT22" s="38">
        <f t="shared" si="36"/>
        <v>-0.32500000000001705</v>
      </c>
      <c r="AU22" s="38">
        <f t="shared" si="6"/>
        <v>-0.11899999999999977</v>
      </c>
      <c r="AV22" s="14">
        <f t="shared" si="25"/>
        <v>-0.16908333333333303</v>
      </c>
      <c r="AW22" s="22">
        <f t="shared" si="23"/>
        <v>-9.8000000000013188E-2</v>
      </c>
      <c r="AX22" s="29">
        <f t="shared" si="24"/>
        <v>-0.21999999999999886</v>
      </c>
      <c r="AY22" s="29">
        <f t="shared" si="18"/>
        <v>-0.18999999999999773</v>
      </c>
      <c r="AZ22" s="29">
        <f t="shared" si="19"/>
        <v>-0.19700000000000273</v>
      </c>
      <c r="BA22" s="29">
        <f t="shared" si="26"/>
        <v>-0.15299999999999159</v>
      </c>
      <c r="BB22" s="29">
        <f t="shared" si="20"/>
        <v>-6.7999999999983629E-2</v>
      </c>
      <c r="BC22" s="29">
        <f t="shared" si="1"/>
        <v>-0.16000000000002501</v>
      </c>
      <c r="BD22" s="29">
        <f t="shared" si="30"/>
        <v>-0.17199999999999704</v>
      </c>
      <c r="BE22" s="29">
        <f t="shared" si="31"/>
        <v>-0.17799999999999727</v>
      </c>
      <c r="BF22" s="29">
        <f t="shared" si="32"/>
        <v>-0.26200000000000045</v>
      </c>
      <c r="BG22" s="29">
        <f t="shared" si="33"/>
        <v>-0.21999999999999886</v>
      </c>
      <c r="BH22" s="29">
        <f t="shared" si="34"/>
        <v>-0.1700000000000004</v>
      </c>
    </row>
    <row r="23" spans="1:60" x14ac:dyDescent="0.25">
      <c r="A23" s="3">
        <v>130</v>
      </c>
      <c r="B23" s="27">
        <v>2365903.7859999998</v>
      </c>
      <c r="C23" s="27">
        <v>6000988.8059999999</v>
      </c>
      <c r="D23" s="27">
        <v>73.296000000000006</v>
      </c>
      <c r="E23" s="90" t="s">
        <v>34</v>
      </c>
      <c r="F23" s="54">
        <v>2011</v>
      </c>
      <c r="G23" s="27">
        <v>73.305000000000007</v>
      </c>
      <c r="H23" s="54">
        <v>2012</v>
      </c>
      <c r="I23" s="27">
        <v>73.260999999999996</v>
      </c>
      <c r="J23" s="54">
        <v>2023</v>
      </c>
      <c r="K23" s="149"/>
      <c r="L23" s="44">
        <v>73.305000000000007</v>
      </c>
      <c r="M23" s="27">
        <v>73.260999999999996</v>
      </c>
      <c r="N23" s="27">
        <v>73.251000000000005</v>
      </c>
      <c r="O23" s="27">
        <v>73.168000000000006</v>
      </c>
      <c r="P23" s="27">
        <v>73.05</v>
      </c>
      <c r="Q23" s="27">
        <v>73.331000000000003</v>
      </c>
      <c r="R23" s="27">
        <v>73.207999999999998</v>
      </c>
      <c r="S23" s="27">
        <v>73.128</v>
      </c>
      <c r="T23" s="27">
        <v>73.075999999999993</v>
      </c>
      <c r="U23" s="27">
        <v>73.138999999999996</v>
      </c>
      <c r="V23" s="27">
        <v>73.162999999999997</v>
      </c>
      <c r="W23" s="27">
        <v>73.290000000000006</v>
      </c>
      <c r="X23" s="27">
        <v>73.14</v>
      </c>
      <c r="Y23" s="27">
        <v>72.971000000000004</v>
      </c>
      <c r="Z23" s="27">
        <v>73.171000000000006</v>
      </c>
      <c r="AA23" s="27">
        <v>73.195999999999998</v>
      </c>
      <c r="AB23" s="34">
        <v>73.263000000000005</v>
      </c>
      <c r="AC23" s="34">
        <v>73.052000000000007</v>
      </c>
      <c r="AD23" s="34">
        <v>73.034000000000006</v>
      </c>
      <c r="AE23" s="47">
        <v>72.926000000000002</v>
      </c>
      <c r="AF23" s="47">
        <v>72.968999999999994</v>
      </c>
      <c r="AG23" s="47">
        <v>73.091999999999999</v>
      </c>
      <c r="AH23" s="47">
        <v>73.081999999999994</v>
      </c>
      <c r="AI23" s="60">
        <f t="shared" si="35"/>
        <v>73.296000000000006</v>
      </c>
      <c r="AJ23" s="44">
        <f t="shared" si="21"/>
        <v>-5.4000000000002046E-2</v>
      </c>
      <c r="AK23" s="27">
        <f t="shared" si="22"/>
        <v>-0.20100000000000762</v>
      </c>
      <c r="AL23" s="29">
        <f t="shared" si="14"/>
        <v>0.15800000000000125</v>
      </c>
      <c r="AM23" s="29">
        <f t="shared" si="15"/>
        <v>-0.132000000000005</v>
      </c>
      <c r="AN23" s="29">
        <f t="shared" si="16"/>
        <v>8.7000000000003297E-2</v>
      </c>
      <c r="AO23" s="29">
        <f t="shared" si="17"/>
        <v>-2.2999999999996135E-2</v>
      </c>
      <c r="AP23" s="29">
        <f t="shared" si="0"/>
        <v>3.1000000000005912E-2</v>
      </c>
      <c r="AQ23" s="29">
        <f t="shared" si="27"/>
        <v>9.1999999999998749E-2</v>
      </c>
      <c r="AR23" s="34">
        <f t="shared" si="28"/>
        <v>-0.21099999999999852</v>
      </c>
      <c r="AS23" s="38">
        <f t="shared" si="29"/>
        <v>-0.12600000000000477</v>
      </c>
      <c r="AT23" s="38">
        <f t="shared" si="36"/>
        <v>0.16599999999999682</v>
      </c>
      <c r="AU23" s="38">
        <f t="shared" si="6"/>
        <v>0.20400000000000773</v>
      </c>
      <c r="AV23" s="14">
        <f t="shared" si="25"/>
        <v>-7.5000000000002842E-4</v>
      </c>
      <c r="AW23" s="22">
        <f t="shared" si="23"/>
        <v>-9.2999999999989313E-2</v>
      </c>
      <c r="AX23" s="29">
        <f t="shared" si="24"/>
        <v>0.1629999999999967</v>
      </c>
      <c r="AY23" s="29">
        <f t="shared" si="18"/>
        <v>-0.20300000000000296</v>
      </c>
      <c r="AZ23" s="29">
        <f t="shared" si="19"/>
        <v>1.099999999999568E-2</v>
      </c>
      <c r="BA23" s="29">
        <f t="shared" si="26"/>
        <v>0.15100000000001046</v>
      </c>
      <c r="BB23" s="29">
        <f t="shared" si="20"/>
        <v>-0.31900000000000261</v>
      </c>
      <c r="BC23" s="29">
        <f t="shared" si="1"/>
        <v>0.22499999999999432</v>
      </c>
      <c r="BD23" s="29">
        <f t="shared" si="30"/>
        <v>-8.0999999999995964E-2</v>
      </c>
      <c r="BE23" s="29">
        <f t="shared" si="31"/>
        <v>-6.5000000000011937E-2</v>
      </c>
      <c r="BF23" s="29">
        <f t="shared" si="32"/>
        <v>0.11299999999999955</v>
      </c>
      <c r="BG23" s="29">
        <f t="shared" si="33"/>
        <v>2.3999999999993804E-2</v>
      </c>
      <c r="BH23" s="29">
        <f t="shared" si="34"/>
        <v>-1.6272727272727459E-2</v>
      </c>
    </row>
    <row r="24" spans="1:60" x14ac:dyDescent="0.25">
      <c r="A24" s="3">
        <v>131</v>
      </c>
      <c r="B24" s="27">
        <v>2332746.321</v>
      </c>
      <c r="C24" s="27">
        <v>6191751.8949999996</v>
      </c>
      <c r="D24" s="27">
        <v>242.756</v>
      </c>
      <c r="E24" s="90" t="s">
        <v>35</v>
      </c>
      <c r="F24" s="54">
        <v>2011</v>
      </c>
      <c r="G24" s="27">
        <v>243.12100000000001</v>
      </c>
      <c r="H24" s="54">
        <v>2012</v>
      </c>
      <c r="I24" s="27">
        <v>243.12100000000001</v>
      </c>
      <c r="J24" s="54">
        <v>2023</v>
      </c>
      <c r="K24" s="149"/>
      <c r="L24" s="44">
        <v>243.12100000000001</v>
      </c>
      <c r="M24" s="27">
        <v>243.12100000000001</v>
      </c>
      <c r="N24" s="27">
        <v>243.142</v>
      </c>
      <c r="O24" s="27">
        <v>243.167</v>
      </c>
      <c r="P24" s="27">
        <v>243.09</v>
      </c>
      <c r="Q24" s="27">
        <v>243.10499999999999</v>
      </c>
      <c r="R24" s="27">
        <v>243.072</v>
      </c>
      <c r="S24" s="27">
        <v>242.93</v>
      </c>
      <c r="T24" s="27">
        <v>242.84700000000001</v>
      </c>
      <c r="U24" s="27">
        <v>242.97800000000001</v>
      </c>
      <c r="V24" s="27">
        <v>242.88499999999999</v>
      </c>
      <c r="W24" s="27">
        <v>242.96899999999999</v>
      </c>
      <c r="X24" s="27">
        <v>242.93</v>
      </c>
      <c r="Y24" s="27">
        <v>243.00800000000001</v>
      </c>
      <c r="Z24" s="27">
        <v>242.82599999999999</v>
      </c>
      <c r="AA24" s="27">
        <v>242.97499999999999</v>
      </c>
      <c r="AB24" s="34">
        <v>242.98500000000001</v>
      </c>
      <c r="AC24" s="34">
        <v>242.881</v>
      </c>
      <c r="AD24" s="34">
        <v>242.77099999999999</v>
      </c>
      <c r="AE24" s="47">
        <v>242.958</v>
      </c>
      <c r="AF24" s="47">
        <v>242.654</v>
      </c>
      <c r="AG24" s="47">
        <v>242.81399999999999</v>
      </c>
      <c r="AH24" s="47">
        <v>242.965</v>
      </c>
      <c r="AI24" s="60">
        <f t="shared" si="35"/>
        <v>242.756</v>
      </c>
      <c r="AJ24" s="44">
        <f t="shared" si="21"/>
        <v>2.0999999999986585E-2</v>
      </c>
      <c r="AK24" s="27">
        <f t="shared" si="22"/>
        <v>-5.1999999999992497E-2</v>
      </c>
      <c r="AL24" s="29">
        <f t="shared" si="14"/>
        <v>-1.8000000000000682E-2</v>
      </c>
      <c r="AM24" s="29">
        <f t="shared" si="15"/>
        <v>-0.22499999999999432</v>
      </c>
      <c r="AN24" s="29">
        <f t="shared" si="16"/>
        <v>3.7999999999982492E-2</v>
      </c>
      <c r="AO24" s="29">
        <f t="shared" si="17"/>
        <v>4.5000000000015916E-2</v>
      </c>
      <c r="AP24" s="29">
        <f t="shared" si="0"/>
        <v>-0.10400000000001342</v>
      </c>
      <c r="AQ24" s="29">
        <f t="shared" si="27"/>
        <v>0.15900000000002024</v>
      </c>
      <c r="AR24" s="34">
        <f t="shared" si="28"/>
        <v>-0.10400000000001342</v>
      </c>
      <c r="AS24" s="38">
        <f t="shared" si="29"/>
        <v>7.6999999999998181E-2</v>
      </c>
      <c r="AT24" s="38">
        <f t="shared" si="36"/>
        <v>-0.14400000000000546</v>
      </c>
      <c r="AU24" s="38">
        <f t="shared" si="6"/>
        <v>-5.7999999999992724E-2</v>
      </c>
      <c r="AV24" s="14">
        <f t="shared" si="25"/>
        <v>-3.0416666666667425E-2</v>
      </c>
      <c r="AW24" s="22">
        <f t="shared" si="23"/>
        <v>4.5999999999992269E-2</v>
      </c>
      <c r="AX24" s="29">
        <f t="shared" si="24"/>
        <v>-6.2000000000011823E-2</v>
      </c>
      <c r="AY24" s="29">
        <f t="shared" si="18"/>
        <v>-0.17499999999998295</v>
      </c>
      <c r="AZ24" s="29">
        <f t="shared" si="19"/>
        <v>4.8000000000001819E-2</v>
      </c>
      <c r="BA24" s="29">
        <f t="shared" si="26"/>
        <v>-9.0000000000145519E-3</v>
      </c>
      <c r="BB24" s="29">
        <f t="shared" si="20"/>
        <v>3.9000000000015689E-2</v>
      </c>
      <c r="BC24" s="29">
        <f t="shared" si="1"/>
        <v>-3.3000000000015461E-2</v>
      </c>
      <c r="BD24" s="29">
        <f t="shared" si="30"/>
        <v>-0.10200000000000387</v>
      </c>
      <c r="BE24" s="29">
        <f t="shared" si="31"/>
        <v>-0.11699999999999022</v>
      </c>
      <c r="BF24" s="29">
        <f t="shared" si="32"/>
        <v>0.31100000000000705</v>
      </c>
      <c r="BG24" s="29">
        <f t="shared" si="33"/>
        <v>9.7000000000008413E-2</v>
      </c>
      <c r="BH24" s="29">
        <f t="shared" si="34"/>
        <v>-1.4181818181818719E-2</v>
      </c>
    </row>
    <row r="25" spans="1:60" s="25" customFormat="1" x14ac:dyDescent="0.25">
      <c r="A25" s="36">
        <v>132</v>
      </c>
      <c r="B25" s="146" t="s">
        <v>28</v>
      </c>
      <c r="C25" s="146"/>
      <c r="D25" s="146"/>
      <c r="E25" s="90" t="s">
        <v>36</v>
      </c>
      <c r="F25" s="54">
        <v>2011</v>
      </c>
      <c r="G25" s="27">
        <v>127.13800000000001</v>
      </c>
      <c r="H25" s="54">
        <v>2012</v>
      </c>
      <c r="I25" s="27">
        <v>126.861</v>
      </c>
      <c r="J25" s="54">
        <v>2023</v>
      </c>
      <c r="K25" s="149"/>
      <c r="L25" s="44">
        <v>127.13800000000001</v>
      </c>
      <c r="M25" s="27">
        <v>126.861</v>
      </c>
      <c r="N25" s="27">
        <v>126.771</v>
      </c>
      <c r="O25" s="27">
        <v>126.303</v>
      </c>
      <c r="P25" s="27">
        <v>126.17</v>
      </c>
      <c r="Q25" s="27">
        <v>125.839</v>
      </c>
      <c r="R25" s="27">
        <v>125.732</v>
      </c>
      <c r="S25" s="27">
        <v>125.224</v>
      </c>
      <c r="T25" s="27">
        <v>125.057</v>
      </c>
      <c r="U25" s="27">
        <v>124.84699999999999</v>
      </c>
      <c r="V25" s="27">
        <v>124.64400000000001</v>
      </c>
      <c r="W25" s="27">
        <v>124.46</v>
      </c>
      <c r="X25" s="27">
        <v>124.4</v>
      </c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21"/>
      <c r="AJ25" s="44">
        <f t="shared" si="21"/>
        <v>-0.36700000000000443</v>
      </c>
      <c r="AK25" s="27">
        <f t="shared" si="22"/>
        <v>-0.60099999999999909</v>
      </c>
      <c r="AL25" s="29">
        <f t="shared" si="14"/>
        <v>-0.43800000000000239</v>
      </c>
      <c r="AM25" s="29">
        <f t="shared" si="15"/>
        <v>-0.67499999999999716</v>
      </c>
      <c r="AN25" s="29">
        <f t="shared" si="16"/>
        <v>-0.4129999999999967</v>
      </c>
      <c r="AO25" s="29">
        <f t="shared" si="17"/>
        <v>-0.24399999999999977</v>
      </c>
      <c r="AP25" s="51"/>
      <c r="AQ25" s="51"/>
      <c r="AR25" s="115"/>
      <c r="AS25" s="115"/>
      <c r="AT25" s="118"/>
      <c r="AU25" s="121"/>
      <c r="AV25" s="121"/>
      <c r="AW25" s="22">
        <f t="shared" si="23"/>
        <v>-0.55800000000000693</v>
      </c>
      <c r="AX25" s="29">
        <f t="shared" si="24"/>
        <v>-0.46399999999999864</v>
      </c>
      <c r="AY25" s="29">
        <f t="shared" si="18"/>
        <v>-0.61499999999999488</v>
      </c>
      <c r="AZ25" s="29">
        <f t="shared" si="19"/>
        <v>-0.37700000000000955</v>
      </c>
      <c r="BA25" s="29">
        <f t="shared" si="26"/>
        <v>-0.38700000000000045</v>
      </c>
      <c r="BB25" s="51" t="s">
        <v>21</v>
      </c>
      <c r="BC25" s="51" t="s">
        <v>21</v>
      </c>
      <c r="BD25" s="51"/>
      <c r="BE25" s="51"/>
      <c r="BF25" s="51"/>
      <c r="BG25" s="51"/>
      <c r="BH25" s="51"/>
    </row>
    <row r="26" spans="1:60" x14ac:dyDescent="0.25">
      <c r="A26" s="19" t="s">
        <v>37</v>
      </c>
      <c r="B26" s="30">
        <v>2249261.1159999999</v>
      </c>
      <c r="C26" s="30">
        <v>6122672.2549999999</v>
      </c>
      <c r="D26" s="52">
        <v>126.129</v>
      </c>
      <c r="E26" s="90" t="s">
        <v>38</v>
      </c>
      <c r="F26" s="54">
        <v>2018</v>
      </c>
      <c r="G26" s="27">
        <v>127.02200000000001</v>
      </c>
      <c r="H26" s="54">
        <v>2019</v>
      </c>
      <c r="I26" s="27">
        <v>126.93899999999999</v>
      </c>
      <c r="J26" s="54">
        <v>2023</v>
      </c>
      <c r="K26" s="149"/>
      <c r="L26" s="44" t="s">
        <v>21</v>
      </c>
      <c r="M26" s="27" t="s">
        <v>21</v>
      </c>
      <c r="N26" s="27" t="s">
        <v>21</v>
      </c>
      <c r="O26" s="27" t="s">
        <v>21</v>
      </c>
      <c r="P26" s="27" t="s">
        <v>21</v>
      </c>
      <c r="Q26" s="27" t="s">
        <v>21</v>
      </c>
      <c r="R26" s="27" t="s">
        <v>21</v>
      </c>
      <c r="S26" s="27" t="s">
        <v>21</v>
      </c>
      <c r="T26" s="27" t="s">
        <v>21</v>
      </c>
      <c r="U26" s="27" t="s">
        <v>21</v>
      </c>
      <c r="V26" s="27" t="s">
        <v>21</v>
      </c>
      <c r="W26" s="27" t="s">
        <v>21</v>
      </c>
      <c r="X26" s="27" t="s">
        <v>21</v>
      </c>
      <c r="Y26" s="27" t="s">
        <v>21</v>
      </c>
      <c r="Z26" s="27">
        <v>127.02200000000001</v>
      </c>
      <c r="AA26" s="27">
        <v>126.93899999999999</v>
      </c>
      <c r="AB26" s="34">
        <v>126.866</v>
      </c>
      <c r="AC26" s="34">
        <v>126.651</v>
      </c>
      <c r="AD26" s="34">
        <v>126.518</v>
      </c>
      <c r="AE26" s="47">
        <v>126.42700000000001</v>
      </c>
      <c r="AF26" s="47">
        <v>126.253</v>
      </c>
      <c r="AG26" s="47">
        <v>126.12</v>
      </c>
      <c r="AH26" s="47">
        <v>126.062</v>
      </c>
      <c r="AI26" s="47">
        <f>D26</f>
        <v>126.129</v>
      </c>
      <c r="AJ26" s="44" t="s">
        <v>21</v>
      </c>
      <c r="AK26" s="27" t="s">
        <v>21</v>
      </c>
      <c r="AL26" s="29" t="s">
        <v>21</v>
      </c>
      <c r="AM26" s="29" t="s">
        <v>21</v>
      </c>
      <c r="AN26" s="29" t="s">
        <v>21</v>
      </c>
      <c r="AO26" s="29" t="s">
        <v>21</v>
      </c>
      <c r="AP26" s="29"/>
      <c r="AQ26" s="29">
        <f>AB26-Z26</f>
        <v>-0.15600000000000591</v>
      </c>
      <c r="AR26" s="38">
        <f>AC26-AB26</f>
        <v>-0.21500000000000341</v>
      </c>
      <c r="AS26" s="38">
        <f t="shared" ref="AS26:AS27" si="37">AE26-AC26</f>
        <v>-0.22399999999998954</v>
      </c>
      <c r="AT26" s="38">
        <f>AG26-AE26</f>
        <v>-0.30700000000000216</v>
      </c>
      <c r="AU26" s="38">
        <f t="shared" si="6"/>
        <v>9.0000000000003411E-3</v>
      </c>
      <c r="AV26" s="108">
        <f t="shared" si="25"/>
        <v>-0.17860000000000015</v>
      </c>
      <c r="AW26" s="22" t="s">
        <v>21</v>
      </c>
      <c r="AX26" s="29" t="s">
        <v>21</v>
      </c>
      <c r="AY26" s="29" t="s">
        <v>21</v>
      </c>
      <c r="AZ26" s="29" t="s">
        <v>21</v>
      </c>
      <c r="BA26" s="29" t="s">
        <v>21</v>
      </c>
      <c r="BB26" s="29" t="s">
        <v>21</v>
      </c>
      <c r="BC26" s="29" t="s">
        <v>21</v>
      </c>
      <c r="BD26" s="29">
        <f>(AD26-AA26)/2</f>
        <v>-0.21049999999999613</v>
      </c>
      <c r="BE26" s="29">
        <f t="shared" ref="BE26:BE27" si="38">AF26-AD26</f>
        <v>-0.26500000000000057</v>
      </c>
      <c r="BF26" s="29">
        <f t="shared" ref="BF26:BF27" si="39">AH26-AF26</f>
        <v>-0.1910000000000025</v>
      </c>
      <c r="BG26" s="29">
        <f t="shared" ref="BG26:BG27" si="40">(AH26-AD26)/2</f>
        <v>-0.22800000000000153</v>
      </c>
      <c r="BH26" s="28">
        <f t="shared" ref="BH26:BH27" si="41">(AH26-$I26)/(2023-$H26)</f>
        <v>-0.21924999999999883</v>
      </c>
    </row>
    <row r="27" spans="1:60" x14ac:dyDescent="0.25">
      <c r="A27" s="3">
        <v>133</v>
      </c>
      <c r="B27" s="27">
        <v>2273311.3670000001</v>
      </c>
      <c r="C27" s="49">
        <v>6111332.2350000003</v>
      </c>
      <c r="D27" s="27">
        <v>118.117</v>
      </c>
      <c r="E27" s="90" t="s">
        <v>39</v>
      </c>
      <c r="F27" s="54">
        <v>2011</v>
      </c>
      <c r="G27" s="27">
        <v>122.277</v>
      </c>
      <c r="H27" s="54">
        <v>2012</v>
      </c>
      <c r="I27" s="27">
        <v>122.158</v>
      </c>
      <c r="J27" s="54">
        <v>2023</v>
      </c>
      <c r="K27" s="149"/>
      <c r="L27" s="44">
        <v>122.277</v>
      </c>
      <c r="M27" s="27">
        <v>122.158</v>
      </c>
      <c r="N27" s="27">
        <v>121.943</v>
      </c>
      <c r="O27" s="27">
        <v>121.664</v>
      </c>
      <c r="P27" s="27">
        <v>121.33</v>
      </c>
      <c r="Q27" s="27">
        <v>121.255</v>
      </c>
      <c r="R27" s="27">
        <v>121.07</v>
      </c>
      <c r="S27" s="27">
        <v>120.70399999999999</v>
      </c>
      <c r="T27" s="27">
        <v>120.44</v>
      </c>
      <c r="U27" s="27">
        <v>120.389</v>
      </c>
      <c r="V27" s="27">
        <v>120</v>
      </c>
      <c r="W27" s="27">
        <v>119.905</v>
      </c>
      <c r="X27" s="27">
        <v>119.82</v>
      </c>
      <c r="Y27" s="27">
        <v>119.58199999999999</v>
      </c>
      <c r="Z27" s="27">
        <v>119.517</v>
      </c>
      <c r="AA27" s="27">
        <v>119.389</v>
      </c>
      <c r="AB27" s="34">
        <v>119.27800000000001</v>
      </c>
      <c r="AC27" s="34">
        <v>118.884</v>
      </c>
      <c r="AD27" s="34">
        <v>118.702</v>
      </c>
      <c r="AE27" s="60">
        <v>118.553</v>
      </c>
      <c r="AF27" s="60">
        <v>118.289</v>
      </c>
      <c r="AG27" s="60">
        <v>118.09699999999999</v>
      </c>
      <c r="AH27" s="60">
        <v>118.089</v>
      </c>
      <c r="AI27" s="47">
        <f>D27</f>
        <v>118.117</v>
      </c>
      <c r="AJ27" s="44">
        <f t="shared" ref="AJ27:AJ35" si="42">N27-L27</f>
        <v>-0.33400000000000318</v>
      </c>
      <c r="AK27" s="27">
        <f t="shared" ref="AK27:AK35" si="43">P27-N27</f>
        <v>-0.61299999999999955</v>
      </c>
      <c r="AL27" s="29">
        <f t="shared" ref="AL27:AL52" si="44">R27-P27</f>
        <v>-0.26000000000000512</v>
      </c>
      <c r="AM27" s="29">
        <f t="shared" ref="AM27:AM52" si="45">T27-R27</f>
        <v>-0.62999999999999545</v>
      </c>
      <c r="AN27" s="29">
        <f t="shared" ref="AN27:AN52" si="46">V27-T27</f>
        <v>-0.43999999999999773</v>
      </c>
      <c r="AO27" s="29">
        <f>X27-V27</f>
        <v>-0.18000000000000682</v>
      </c>
      <c r="AP27" s="29">
        <f>Z27-X27</f>
        <v>-0.30299999999999727</v>
      </c>
      <c r="AQ27" s="29">
        <f>AB27-Z27</f>
        <v>-0.23899999999999011</v>
      </c>
      <c r="AR27" s="34">
        <f>AC27-AB27</f>
        <v>-0.39400000000000546</v>
      </c>
      <c r="AS27" s="38">
        <f t="shared" si="37"/>
        <v>-0.33100000000000307</v>
      </c>
      <c r="AT27" s="38">
        <f>AG27-AE27</f>
        <v>-0.45600000000000307</v>
      </c>
      <c r="AU27" s="38">
        <f t="shared" si="6"/>
        <v>2.0000000000010232E-2</v>
      </c>
      <c r="AV27" s="14">
        <f t="shared" si="25"/>
        <v>-0.3466666666666664</v>
      </c>
      <c r="AW27" s="22">
        <f t="shared" ref="AW27:AW35" si="47">O27-M27</f>
        <v>-0.49399999999999977</v>
      </c>
      <c r="AX27" s="29">
        <f t="shared" ref="AX27:AX35" si="48">Q27-O27</f>
        <v>-0.40900000000000603</v>
      </c>
      <c r="AY27" s="29">
        <f t="shared" ref="AY27:AY52" si="49">S27-Q27</f>
        <v>-0.55100000000000193</v>
      </c>
      <c r="AZ27" s="29">
        <f t="shared" ref="AZ27:AZ52" si="50">U27-S27</f>
        <v>-0.31499999999999773</v>
      </c>
      <c r="BA27" s="29">
        <f>W27-U27</f>
        <v>-0.48399999999999466</v>
      </c>
      <c r="BB27" s="29">
        <f>Y27-W27</f>
        <v>-0.3230000000000075</v>
      </c>
      <c r="BC27" s="29">
        <f>AA27-Y27</f>
        <v>-0.19299999999999784</v>
      </c>
      <c r="BD27" s="29">
        <f>(AD27-AA27)/2</f>
        <v>-0.34349999999999881</v>
      </c>
      <c r="BE27" s="29">
        <f t="shared" si="38"/>
        <v>-0.4129999999999967</v>
      </c>
      <c r="BF27" s="29">
        <f t="shared" si="39"/>
        <v>-0.20000000000000284</v>
      </c>
      <c r="BG27" s="29">
        <f t="shared" si="40"/>
        <v>-0.30649999999999977</v>
      </c>
      <c r="BH27" s="29">
        <f t="shared" si="41"/>
        <v>-0.36990909090909113</v>
      </c>
    </row>
    <row r="28" spans="1:60" x14ac:dyDescent="0.25">
      <c r="A28" s="36">
        <v>134</v>
      </c>
      <c r="B28" s="146" t="s">
        <v>28</v>
      </c>
      <c r="C28" s="146"/>
      <c r="D28" s="147"/>
      <c r="E28" s="90" t="s">
        <v>40</v>
      </c>
      <c r="F28" s="54">
        <v>2011</v>
      </c>
      <c r="G28" s="27">
        <v>289.99900000000002</v>
      </c>
      <c r="H28" s="54">
        <v>2012</v>
      </c>
      <c r="I28" s="27">
        <v>289.94099999999997</v>
      </c>
      <c r="J28" s="54">
        <v>2023</v>
      </c>
      <c r="K28" s="149"/>
      <c r="L28" s="44">
        <v>289.99900000000002</v>
      </c>
      <c r="M28" s="27">
        <v>289.94099999999997</v>
      </c>
      <c r="N28" s="27">
        <v>289.92399999999998</v>
      </c>
      <c r="O28" s="27">
        <v>289.839</v>
      </c>
      <c r="P28" s="27">
        <v>289.92</v>
      </c>
      <c r="Q28" s="27">
        <v>290.01799999999997</v>
      </c>
      <c r="R28" s="27">
        <v>289.964</v>
      </c>
      <c r="S28" s="27">
        <v>289.887</v>
      </c>
      <c r="T28" s="27">
        <v>289.98599999999999</v>
      </c>
      <c r="U28" s="27">
        <v>289.89999999999998</v>
      </c>
      <c r="V28" s="27">
        <v>289.90300000000002</v>
      </c>
      <c r="W28" s="27">
        <v>288.87900000000002</v>
      </c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21"/>
      <c r="AJ28" s="44">
        <f t="shared" si="42"/>
        <v>-7.5000000000045475E-2</v>
      </c>
      <c r="AK28" s="27">
        <f t="shared" si="43"/>
        <v>-3.999999999962256E-3</v>
      </c>
      <c r="AL28" s="29">
        <f t="shared" si="44"/>
        <v>4.399999999998272E-2</v>
      </c>
      <c r="AM28" s="29">
        <f t="shared" si="45"/>
        <v>2.199999999999136E-2</v>
      </c>
      <c r="AN28" s="29">
        <f t="shared" si="46"/>
        <v>-8.2999999999969987E-2</v>
      </c>
      <c r="AO28" s="51" t="s">
        <v>21</v>
      </c>
      <c r="AP28" s="51"/>
      <c r="AQ28" s="51"/>
      <c r="AR28" s="115"/>
      <c r="AS28" s="115"/>
      <c r="AT28" s="118"/>
      <c r="AU28" s="121"/>
      <c r="AV28" s="121"/>
      <c r="AW28" s="22">
        <f t="shared" si="47"/>
        <v>-0.10199999999997544</v>
      </c>
      <c r="AX28" s="29">
        <f t="shared" si="48"/>
        <v>0.17899999999997362</v>
      </c>
      <c r="AY28" s="29">
        <f t="shared" si="49"/>
        <v>-0.13099999999997181</v>
      </c>
      <c r="AZ28" s="29">
        <f t="shared" si="50"/>
        <v>1.2999999999976808E-2</v>
      </c>
      <c r="BA28" s="51"/>
      <c r="BB28" s="51"/>
      <c r="BC28" s="51" t="s">
        <v>21</v>
      </c>
      <c r="BD28" s="51"/>
      <c r="BE28" s="51"/>
      <c r="BF28" s="51"/>
      <c r="BG28" s="51"/>
      <c r="BH28" s="51"/>
    </row>
    <row r="29" spans="1:60" x14ac:dyDescent="0.25">
      <c r="A29" s="3">
        <v>135</v>
      </c>
      <c r="B29" s="27">
        <v>2280213.3960000002</v>
      </c>
      <c r="C29" s="27">
        <v>6203601.9589999998</v>
      </c>
      <c r="D29" s="27">
        <v>232.935</v>
      </c>
      <c r="E29" s="90" t="s">
        <v>41</v>
      </c>
      <c r="F29" s="54">
        <v>2011</v>
      </c>
      <c r="G29" s="27">
        <v>236.71799999999999</v>
      </c>
      <c r="H29" s="54">
        <v>2012</v>
      </c>
      <c r="I29" s="27">
        <v>236.596</v>
      </c>
      <c r="J29" s="54">
        <v>2023</v>
      </c>
      <c r="K29" s="149"/>
      <c r="L29" s="44">
        <v>236.71799999999999</v>
      </c>
      <c r="M29" s="27">
        <v>236.596</v>
      </c>
      <c r="N29" s="27">
        <v>236.54300000000001</v>
      </c>
      <c r="O29" s="27">
        <v>236.38300000000001</v>
      </c>
      <c r="P29" s="27">
        <v>236.27</v>
      </c>
      <c r="Q29" s="27">
        <v>235.85300000000001</v>
      </c>
      <c r="R29" s="27">
        <v>235.74100000000001</v>
      </c>
      <c r="S29" s="27">
        <v>235.32599999999999</v>
      </c>
      <c r="T29" s="27">
        <v>235.1</v>
      </c>
      <c r="U29" s="27">
        <v>234.98699999999999</v>
      </c>
      <c r="V29" s="27">
        <v>234.84100000000001</v>
      </c>
      <c r="W29" s="27">
        <v>234.703</v>
      </c>
      <c r="X29" s="27">
        <v>234.65</v>
      </c>
      <c r="Y29" s="27">
        <v>234.53299999999999</v>
      </c>
      <c r="Z29" s="27">
        <v>234.27600000000001</v>
      </c>
      <c r="AA29" s="27">
        <v>234.22200000000001</v>
      </c>
      <c r="AB29" s="34">
        <v>234.13300000000001</v>
      </c>
      <c r="AC29" s="34">
        <v>233.845</v>
      </c>
      <c r="AD29" s="34">
        <v>233.697</v>
      </c>
      <c r="AE29" s="60">
        <v>233.46199999999999</v>
      </c>
      <c r="AF29" s="60">
        <v>233.31700000000001</v>
      </c>
      <c r="AG29" s="60">
        <v>232.96</v>
      </c>
      <c r="AH29" s="60">
        <v>232.934</v>
      </c>
      <c r="AI29" s="60">
        <f>D29</f>
        <v>232.935</v>
      </c>
      <c r="AJ29" s="44">
        <f t="shared" si="42"/>
        <v>-0.17499999999998295</v>
      </c>
      <c r="AK29" s="27">
        <f t="shared" si="43"/>
        <v>-0.27299999999999613</v>
      </c>
      <c r="AL29" s="29">
        <f t="shared" si="44"/>
        <v>-0.52899999999999636</v>
      </c>
      <c r="AM29" s="29">
        <f t="shared" si="45"/>
        <v>-0.64100000000001955</v>
      </c>
      <c r="AN29" s="29">
        <f t="shared" si="46"/>
        <v>-0.25899999999998613</v>
      </c>
      <c r="AO29" s="29">
        <f>X29-V29</f>
        <v>-0.1910000000000025</v>
      </c>
      <c r="AP29" s="29">
        <f>Z29-X29</f>
        <v>-0.37399999999999523</v>
      </c>
      <c r="AQ29" s="29">
        <f>AB29-Z29</f>
        <v>-0.14300000000000068</v>
      </c>
      <c r="AR29" s="34">
        <f>AC29-AB29</f>
        <v>-0.28800000000001091</v>
      </c>
      <c r="AS29" s="38">
        <f t="shared" ref="AS29:AS32" si="51">AE29-AC29</f>
        <v>-0.38300000000000978</v>
      </c>
      <c r="AT29" s="38">
        <f>AG29-AE29</f>
        <v>-0.50199999999998113</v>
      </c>
      <c r="AU29" s="38">
        <f t="shared" si="6"/>
        <v>-2.5000000000005684E-2</v>
      </c>
      <c r="AV29" s="14">
        <f t="shared" si="25"/>
        <v>-0.31524999999999892</v>
      </c>
      <c r="AW29" s="22">
        <f t="shared" si="47"/>
        <v>-0.21299999999999386</v>
      </c>
      <c r="AX29" s="29">
        <f t="shared" si="48"/>
        <v>-0.53000000000000114</v>
      </c>
      <c r="AY29" s="29">
        <f t="shared" si="49"/>
        <v>-0.52700000000001523</v>
      </c>
      <c r="AZ29" s="29">
        <f t="shared" si="50"/>
        <v>-0.33899999999999864</v>
      </c>
      <c r="BA29" s="29">
        <f>W29-U29</f>
        <v>-0.28399999999999181</v>
      </c>
      <c r="BB29" s="29">
        <f>Y29-W29</f>
        <v>-0.17000000000001592</v>
      </c>
      <c r="BC29" s="29">
        <f>AA29-Y29</f>
        <v>-0.31099999999997863</v>
      </c>
      <c r="BD29" s="29">
        <f>(AD29-AA29)/2</f>
        <v>-0.26250000000000284</v>
      </c>
      <c r="BE29" s="29">
        <f t="shared" ref="BE29:BE32" si="52">AF29-AD29</f>
        <v>-0.37999999999999545</v>
      </c>
      <c r="BF29" s="29">
        <f t="shared" ref="BF29:BF32" si="53">AH29-AF29</f>
        <v>-0.38300000000000978</v>
      </c>
      <c r="BG29" s="29">
        <f t="shared" ref="BG29:BG32" si="54">(AH29-AD29)/2</f>
        <v>-0.38150000000000261</v>
      </c>
      <c r="BH29" s="29">
        <f t="shared" ref="BH29:BH32" si="55">(AH29-$I29)/(2023-$H29)</f>
        <v>-0.33290909090909149</v>
      </c>
    </row>
    <row r="30" spans="1:60" x14ac:dyDescent="0.25">
      <c r="A30" s="3">
        <v>137</v>
      </c>
      <c r="B30" s="27">
        <v>2271706.372</v>
      </c>
      <c r="C30" s="27">
        <v>6053044.1809999999</v>
      </c>
      <c r="D30" s="27">
        <v>99.713999999999999</v>
      </c>
      <c r="E30" s="90" t="s">
        <v>42</v>
      </c>
      <c r="F30" s="54">
        <v>2011</v>
      </c>
      <c r="G30" s="27">
        <v>101.04900000000001</v>
      </c>
      <c r="H30" s="54">
        <v>2012</v>
      </c>
      <c r="I30" s="27">
        <v>101.02800000000001</v>
      </c>
      <c r="J30" s="54">
        <v>2023</v>
      </c>
      <c r="K30" s="149"/>
      <c r="L30" s="44">
        <v>101.04900000000001</v>
      </c>
      <c r="M30" s="27">
        <v>101.02800000000001</v>
      </c>
      <c r="N30" s="27">
        <v>100.96</v>
      </c>
      <c r="O30" s="27">
        <v>100.9</v>
      </c>
      <c r="P30" s="27">
        <v>100.87</v>
      </c>
      <c r="Q30" s="27">
        <v>100.746</v>
      </c>
      <c r="R30" s="27">
        <v>100.66800000000001</v>
      </c>
      <c r="S30" s="27">
        <v>100.64</v>
      </c>
      <c r="T30" s="27">
        <v>100.548</v>
      </c>
      <c r="U30" s="27">
        <v>100.467</v>
      </c>
      <c r="V30" s="27">
        <v>100.435</v>
      </c>
      <c r="W30" s="27">
        <v>100.42400000000001</v>
      </c>
      <c r="X30" s="27">
        <v>100.37</v>
      </c>
      <c r="Y30" s="27">
        <v>100.265</v>
      </c>
      <c r="Z30" s="27">
        <v>100.288</v>
      </c>
      <c r="AA30" s="27">
        <v>100.211</v>
      </c>
      <c r="AB30" s="34">
        <v>100.197</v>
      </c>
      <c r="AC30" s="34">
        <v>100.078</v>
      </c>
      <c r="AD30" s="34">
        <v>99.927999999999997</v>
      </c>
      <c r="AE30" s="60">
        <v>99.870999999999995</v>
      </c>
      <c r="AF30" s="60">
        <v>99.811999999999998</v>
      </c>
      <c r="AG30" s="60">
        <v>99.673000000000002</v>
      </c>
      <c r="AH30" s="60">
        <v>99.647999999999996</v>
      </c>
      <c r="AI30" s="60">
        <f t="shared" ref="AI30:AI32" si="56">D30</f>
        <v>99.713999999999999</v>
      </c>
      <c r="AJ30" s="44">
        <f t="shared" si="42"/>
        <v>-8.9000000000012847E-2</v>
      </c>
      <c r="AK30" s="27">
        <f t="shared" si="43"/>
        <v>-8.99999999999892E-2</v>
      </c>
      <c r="AL30" s="29">
        <f t="shared" si="44"/>
        <v>-0.20199999999999818</v>
      </c>
      <c r="AM30" s="29">
        <f t="shared" si="45"/>
        <v>-0.12000000000000455</v>
      </c>
      <c r="AN30" s="29">
        <f t="shared" si="46"/>
        <v>-0.11299999999999955</v>
      </c>
      <c r="AO30" s="29">
        <f>X30-V30</f>
        <v>-6.4999999999997726E-2</v>
      </c>
      <c r="AP30" s="29">
        <f>Z30-X30</f>
        <v>-8.2000000000007844E-2</v>
      </c>
      <c r="AQ30" s="29">
        <f>AB30-Z30</f>
        <v>-9.0999999999993975E-2</v>
      </c>
      <c r="AR30" s="34">
        <f>AC30-AB30</f>
        <v>-0.11899999999999977</v>
      </c>
      <c r="AS30" s="38">
        <f t="shared" si="51"/>
        <v>-0.20700000000000784</v>
      </c>
      <c r="AT30" s="38">
        <f t="shared" ref="AT30:AT32" si="57">AG30-AE30</f>
        <v>-0.19799999999999329</v>
      </c>
      <c r="AU30" s="38">
        <f t="shared" si="6"/>
        <v>4.0999999999996817E-2</v>
      </c>
      <c r="AV30" s="14">
        <f t="shared" si="25"/>
        <v>-0.11125000000000067</v>
      </c>
      <c r="AW30" s="22">
        <f t="shared" si="47"/>
        <v>-0.12800000000000011</v>
      </c>
      <c r="AX30" s="29">
        <f t="shared" si="48"/>
        <v>-0.15400000000001057</v>
      </c>
      <c r="AY30" s="29">
        <f t="shared" si="49"/>
        <v>-0.10599999999999454</v>
      </c>
      <c r="AZ30" s="29">
        <f t="shared" si="50"/>
        <v>-0.17300000000000182</v>
      </c>
      <c r="BA30" s="29">
        <f>W30-U30</f>
        <v>-4.2999999999992156E-2</v>
      </c>
      <c r="BB30" s="29">
        <f>Y30-W30</f>
        <v>-0.15900000000000603</v>
      </c>
      <c r="BC30" s="29">
        <f>AA30-Y30</f>
        <v>-5.4000000000002046E-2</v>
      </c>
      <c r="BD30" s="29">
        <f>(AD30-AA30)/2</f>
        <v>-0.14150000000000063</v>
      </c>
      <c r="BE30" s="29">
        <f t="shared" si="52"/>
        <v>-0.11599999999999966</v>
      </c>
      <c r="BF30" s="29">
        <f t="shared" si="53"/>
        <v>-0.16400000000000148</v>
      </c>
      <c r="BG30" s="29">
        <f t="shared" si="54"/>
        <v>-0.14000000000000057</v>
      </c>
      <c r="BH30" s="29">
        <f t="shared" si="55"/>
        <v>-0.12545454545454635</v>
      </c>
    </row>
    <row r="31" spans="1:60" x14ac:dyDescent="0.25">
      <c r="A31" s="3">
        <v>138</v>
      </c>
      <c r="B31" s="27">
        <v>2423374.0049999999</v>
      </c>
      <c r="C31" s="27">
        <v>5929562.8590000002</v>
      </c>
      <c r="D31" s="27">
        <v>239.345</v>
      </c>
      <c r="E31" s="90" t="s">
        <v>43</v>
      </c>
      <c r="F31" s="54">
        <v>2011</v>
      </c>
      <c r="G31" s="27">
        <v>239.114</v>
      </c>
      <c r="H31" s="54">
        <v>2012</v>
      </c>
      <c r="I31" s="27">
        <v>239.11</v>
      </c>
      <c r="J31" s="54">
        <v>2023</v>
      </c>
      <c r="K31" s="149"/>
      <c r="L31" s="44">
        <v>239.114</v>
      </c>
      <c r="M31" s="27">
        <v>239.11</v>
      </c>
      <c r="N31" s="27">
        <v>239.07400000000001</v>
      </c>
      <c r="O31" s="27">
        <v>239.006</v>
      </c>
      <c r="P31" s="27">
        <v>238.86</v>
      </c>
      <c r="Q31" s="27">
        <v>239.268</v>
      </c>
      <c r="R31" s="27">
        <v>239.10400000000001</v>
      </c>
      <c r="S31" s="27">
        <v>239.08500000000001</v>
      </c>
      <c r="T31" s="27">
        <v>238.96199999999999</v>
      </c>
      <c r="U31" s="27">
        <v>239.11799999999999</v>
      </c>
      <c r="V31" s="27">
        <v>239.06299999999999</v>
      </c>
      <c r="W31" s="27">
        <v>239.24</v>
      </c>
      <c r="X31" s="27">
        <v>238.97</v>
      </c>
      <c r="Y31" s="27">
        <v>238.852</v>
      </c>
      <c r="Z31" s="27">
        <v>238.96700000000001</v>
      </c>
      <c r="AA31" s="27">
        <v>238.953</v>
      </c>
      <c r="AB31" s="34">
        <v>239.18199999999999</v>
      </c>
      <c r="AC31" s="34">
        <v>238.93700000000001</v>
      </c>
      <c r="AD31" s="34">
        <v>238.79</v>
      </c>
      <c r="AE31" s="60">
        <v>238.83600000000001</v>
      </c>
      <c r="AF31" s="60">
        <v>238.77099999999999</v>
      </c>
      <c r="AG31" s="60">
        <v>238.84399999999999</v>
      </c>
      <c r="AH31" s="60">
        <v>238.96</v>
      </c>
      <c r="AI31" s="60">
        <f t="shared" si="56"/>
        <v>239.345</v>
      </c>
      <c r="AJ31" s="44">
        <f t="shared" si="42"/>
        <v>-3.9999999999992042E-2</v>
      </c>
      <c r="AK31" s="27">
        <f t="shared" si="43"/>
        <v>-0.21399999999999864</v>
      </c>
      <c r="AL31" s="29">
        <f t="shared" si="44"/>
        <v>0.24399999999999977</v>
      </c>
      <c r="AM31" s="29">
        <f t="shared" si="45"/>
        <v>-0.14200000000002433</v>
      </c>
      <c r="AN31" s="29">
        <f t="shared" si="46"/>
        <v>0.10099999999999909</v>
      </c>
      <c r="AO31" s="29">
        <f>X31-V31</f>
        <v>-9.2999999999989313E-2</v>
      </c>
      <c r="AP31" s="29">
        <f>Z31-X31</f>
        <v>-2.9999999999859028E-3</v>
      </c>
      <c r="AQ31" s="29">
        <f>AB31-Z31</f>
        <v>0.21499999999997499</v>
      </c>
      <c r="AR31" s="34">
        <f>AC31-AB31</f>
        <v>-0.24499999999997613</v>
      </c>
      <c r="AS31" s="38">
        <f t="shared" si="51"/>
        <v>-0.10099999999999909</v>
      </c>
      <c r="AT31" s="38">
        <f t="shared" si="57"/>
        <v>7.9999999999813554E-3</v>
      </c>
      <c r="AU31" s="38">
        <f t="shared" si="6"/>
        <v>0.50100000000000477</v>
      </c>
      <c r="AV31" s="14">
        <f t="shared" si="25"/>
        <v>1.9249999999999545E-2</v>
      </c>
      <c r="AW31" s="22">
        <f t="shared" si="47"/>
        <v>-0.10400000000001342</v>
      </c>
      <c r="AX31" s="29">
        <f t="shared" si="48"/>
        <v>0.26200000000000045</v>
      </c>
      <c r="AY31" s="29">
        <f t="shared" si="49"/>
        <v>-0.18299999999999272</v>
      </c>
      <c r="AZ31" s="29">
        <f t="shared" si="50"/>
        <v>3.299999999998704E-2</v>
      </c>
      <c r="BA31" s="29">
        <f>W31-U31</f>
        <v>0.1220000000000141</v>
      </c>
      <c r="BB31" s="29">
        <f>Y31-W31</f>
        <v>-0.38800000000000523</v>
      </c>
      <c r="BC31" s="29">
        <f>AA31-Y31</f>
        <v>0.10099999999999909</v>
      </c>
      <c r="BD31" s="29">
        <f>(AD31-AA31)/2</f>
        <v>-8.1500000000005457E-2</v>
      </c>
      <c r="BE31" s="29">
        <f t="shared" si="52"/>
        <v>-1.9000000000005457E-2</v>
      </c>
      <c r="BF31" s="29">
        <f t="shared" si="53"/>
        <v>0.18900000000002137</v>
      </c>
      <c r="BG31" s="29">
        <f t="shared" si="54"/>
        <v>8.5000000000007958E-2</v>
      </c>
      <c r="BH31" s="29">
        <f t="shared" si="55"/>
        <v>-1.3636363636364153E-2</v>
      </c>
    </row>
    <row r="32" spans="1:60" x14ac:dyDescent="0.25">
      <c r="A32" s="3">
        <v>139</v>
      </c>
      <c r="B32" s="27">
        <v>2099649.6889999998</v>
      </c>
      <c r="C32" s="27">
        <v>6250235.0710000005</v>
      </c>
      <c r="D32" s="27">
        <v>184.55500000000001</v>
      </c>
      <c r="E32" s="90" t="s">
        <v>44</v>
      </c>
      <c r="F32" s="54">
        <v>2011</v>
      </c>
      <c r="G32" s="27">
        <v>186.98500000000001</v>
      </c>
      <c r="H32" s="54">
        <v>2012</v>
      </c>
      <c r="I32" s="27">
        <v>186.81399999999999</v>
      </c>
      <c r="J32" s="54">
        <v>2023</v>
      </c>
      <c r="K32" s="149"/>
      <c r="L32" s="44">
        <v>186.98500000000001</v>
      </c>
      <c r="M32" s="27">
        <v>186.81399999999999</v>
      </c>
      <c r="N32" s="27">
        <v>186.88900000000001</v>
      </c>
      <c r="O32" s="27">
        <v>186.63900000000001</v>
      </c>
      <c r="P32" s="27">
        <v>186.56</v>
      </c>
      <c r="Q32" s="27">
        <v>186.334</v>
      </c>
      <c r="R32" s="27">
        <v>186.32400000000001</v>
      </c>
      <c r="S32" s="27">
        <v>186.083</v>
      </c>
      <c r="T32" s="27">
        <v>186.08799999999999</v>
      </c>
      <c r="U32" s="27">
        <v>185.74299999999999</v>
      </c>
      <c r="V32" s="27">
        <v>185.762</v>
      </c>
      <c r="W32" s="27">
        <v>185.631</v>
      </c>
      <c r="X32" s="27">
        <v>185.65</v>
      </c>
      <c r="Y32" s="27">
        <v>185.59399999999999</v>
      </c>
      <c r="Z32" s="27">
        <v>185.554</v>
      </c>
      <c r="AA32" s="27">
        <v>185.405</v>
      </c>
      <c r="AB32" s="34">
        <v>185.31100000000001</v>
      </c>
      <c r="AC32" s="34">
        <v>185.23400000000001</v>
      </c>
      <c r="AD32" s="34">
        <v>185.22900000000001</v>
      </c>
      <c r="AE32" s="60">
        <v>184.96</v>
      </c>
      <c r="AF32" s="60">
        <v>184.87299999999999</v>
      </c>
      <c r="AG32" s="60">
        <v>184.715</v>
      </c>
      <c r="AH32" s="60">
        <v>184.59700000000001</v>
      </c>
      <c r="AI32" s="60">
        <f t="shared" si="56"/>
        <v>184.55500000000001</v>
      </c>
      <c r="AJ32" s="44">
        <f t="shared" si="42"/>
        <v>-9.6000000000003638E-2</v>
      </c>
      <c r="AK32" s="27">
        <f t="shared" si="43"/>
        <v>-0.32900000000000773</v>
      </c>
      <c r="AL32" s="29">
        <f t="shared" si="44"/>
        <v>-0.23599999999999</v>
      </c>
      <c r="AM32" s="29">
        <f t="shared" si="45"/>
        <v>-0.23600000000001842</v>
      </c>
      <c r="AN32" s="29">
        <f t="shared" si="46"/>
        <v>-0.32599999999999341</v>
      </c>
      <c r="AO32" s="29">
        <f>X32-V32</f>
        <v>-0.11199999999999477</v>
      </c>
      <c r="AP32" s="29">
        <f>Z32-X32</f>
        <v>-9.6000000000003638E-2</v>
      </c>
      <c r="AQ32" s="29">
        <f>AB32-Z32</f>
        <v>-0.242999999999995</v>
      </c>
      <c r="AR32" s="34">
        <f>AC32-AB32</f>
        <v>-7.6999999999998181E-2</v>
      </c>
      <c r="AS32" s="38">
        <f t="shared" si="51"/>
        <v>-0.27400000000000091</v>
      </c>
      <c r="AT32" s="38">
        <f t="shared" si="57"/>
        <v>-0.24500000000000455</v>
      </c>
      <c r="AU32" s="38">
        <f t="shared" si="6"/>
        <v>-0.15999999999999659</v>
      </c>
      <c r="AV32" s="14">
        <f t="shared" si="25"/>
        <v>-0.20250000000000057</v>
      </c>
      <c r="AW32" s="22">
        <f t="shared" si="47"/>
        <v>-0.17499999999998295</v>
      </c>
      <c r="AX32" s="29">
        <f t="shared" si="48"/>
        <v>-0.30500000000000682</v>
      </c>
      <c r="AY32" s="29">
        <f t="shared" si="49"/>
        <v>-0.25100000000000477</v>
      </c>
      <c r="AZ32" s="29">
        <f t="shared" si="50"/>
        <v>-0.34000000000000341</v>
      </c>
      <c r="BA32" s="29">
        <f>W32-U32</f>
        <v>-0.11199999999999477</v>
      </c>
      <c r="BB32" s="29">
        <f>Y32-W32</f>
        <v>-3.7000000000006139E-2</v>
      </c>
      <c r="BC32" s="29">
        <f>AA32-Y32</f>
        <v>-0.18899999999999295</v>
      </c>
      <c r="BD32" s="29">
        <f>(AD32-AA32)/2</f>
        <v>-8.7999999999993861E-2</v>
      </c>
      <c r="BE32" s="29">
        <f t="shared" si="52"/>
        <v>-0.35600000000002296</v>
      </c>
      <c r="BF32" s="29">
        <f t="shared" si="53"/>
        <v>-0.27599999999998204</v>
      </c>
      <c r="BG32" s="29">
        <f t="shared" si="54"/>
        <v>-0.3160000000000025</v>
      </c>
      <c r="BH32" s="29">
        <f t="shared" si="55"/>
        <v>-0.20154545454545314</v>
      </c>
    </row>
    <row r="33" spans="1:60" x14ac:dyDescent="0.25">
      <c r="A33" s="36">
        <v>140</v>
      </c>
      <c r="B33" s="146" t="s">
        <v>28</v>
      </c>
      <c r="C33" s="146"/>
      <c r="D33" s="146"/>
      <c r="E33" s="90" t="s">
        <v>45</v>
      </c>
      <c r="F33" s="54">
        <v>2011</v>
      </c>
      <c r="G33" s="27">
        <v>292.40800000000002</v>
      </c>
      <c r="H33" s="54">
        <v>2012</v>
      </c>
      <c r="I33" s="27">
        <v>292.33800000000002</v>
      </c>
      <c r="J33" s="54">
        <v>2023</v>
      </c>
      <c r="K33" s="149"/>
      <c r="L33" s="44">
        <v>292.40800000000002</v>
      </c>
      <c r="M33" s="27">
        <v>292.33800000000002</v>
      </c>
      <c r="N33" s="27">
        <v>292.40800000000002</v>
      </c>
      <c r="O33" s="27">
        <v>292.31599999999997</v>
      </c>
      <c r="P33" s="27">
        <v>292.37</v>
      </c>
      <c r="Q33" s="27">
        <v>292.39800000000002</v>
      </c>
      <c r="R33" s="27">
        <v>292.36399999999998</v>
      </c>
      <c r="S33" s="27">
        <v>292.23899999999998</v>
      </c>
      <c r="T33" s="27">
        <v>292.358</v>
      </c>
      <c r="U33" s="27">
        <v>292.22500000000002</v>
      </c>
      <c r="V33" s="27">
        <v>292.27999999999997</v>
      </c>
      <c r="W33" s="27">
        <v>293.51799999999997</v>
      </c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21"/>
      <c r="AJ33" s="44">
        <f t="shared" si="42"/>
        <v>0</v>
      </c>
      <c r="AK33" s="27">
        <f t="shared" si="43"/>
        <v>-3.8000000000010914E-2</v>
      </c>
      <c r="AL33" s="29">
        <f t="shared" si="44"/>
        <v>-6.0000000000286491E-3</v>
      </c>
      <c r="AM33" s="29">
        <f t="shared" si="45"/>
        <v>-5.9999999999718057E-3</v>
      </c>
      <c r="AN33" s="29">
        <f t="shared" si="46"/>
        <v>-7.8000000000031378E-2</v>
      </c>
      <c r="AO33" s="51" t="s">
        <v>21</v>
      </c>
      <c r="AP33" s="51"/>
      <c r="AQ33" s="51"/>
      <c r="AR33" s="115"/>
      <c r="AS33" s="115"/>
      <c r="AT33" s="118"/>
      <c r="AU33" s="121"/>
      <c r="AV33" s="121"/>
      <c r="AW33" s="22">
        <f t="shared" si="47"/>
        <v>-2.2000000000048203E-2</v>
      </c>
      <c r="AX33" s="29">
        <f t="shared" si="48"/>
        <v>8.2000000000050477E-2</v>
      </c>
      <c r="AY33" s="29">
        <f t="shared" si="49"/>
        <v>-0.15900000000004866</v>
      </c>
      <c r="AZ33" s="29">
        <f t="shared" si="50"/>
        <v>-1.3999999999953161E-2</v>
      </c>
      <c r="BA33" s="51"/>
      <c r="BB33" s="51"/>
      <c r="BC33" s="51" t="s">
        <v>21</v>
      </c>
      <c r="BD33" s="51"/>
      <c r="BE33" s="51"/>
      <c r="BF33" s="51"/>
      <c r="BG33" s="51"/>
      <c r="BH33" s="51"/>
    </row>
    <row r="34" spans="1:60" x14ac:dyDescent="0.25">
      <c r="A34" s="3">
        <v>141</v>
      </c>
      <c r="B34" s="27">
        <v>2207496.6749999998</v>
      </c>
      <c r="C34" s="27">
        <v>6274591.7640000004</v>
      </c>
      <c r="D34" s="27">
        <v>284.49400000000003</v>
      </c>
      <c r="E34" s="90" t="s">
        <v>46</v>
      </c>
      <c r="F34" s="54">
        <v>2011</v>
      </c>
      <c r="G34" s="27">
        <v>285.40899999999999</v>
      </c>
      <c r="H34" s="54">
        <v>2012</v>
      </c>
      <c r="I34" s="27">
        <v>285.28699999999998</v>
      </c>
      <c r="J34" s="54">
        <v>2023</v>
      </c>
      <c r="K34" s="149"/>
      <c r="L34" s="44">
        <v>285.40899999999999</v>
      </c>
      <c r="M34" s="27">
        <v>285.28699999999998</v>
      </c>
      <c r="N34" s="27">
        <v>285.29199999999997</v>
      </c>
      <c r="O34" s="27">
        <v>285.26799999999997</v>
      </c>
      <c r="P34" s="27">
        <v>285.24</v>
      </c>
      <c r="Q34" s="27">
        <v>285.15699999999998</v>
      </c>
      <c r="R34" s="27">
        <v>285.18900000000002</v>
      </c>
      <c r="S34" s="27">
        <v>285.11399999999998</v>
      </c>
      <c r="T34" s="27">
        <v>285.12</v>
      </c>
      <c r="U34" s="27">
        <v>284.99700000000001</v>
      </c>
      <c r="V34" s="27">
        <v>285.03899999999999</v>
      </c>
      <c r="W34" s="27">
        <v>284.96300000000002</v>
      </c>
      <c r="X34" s="27">
        <v>284.97000000000003</v>
      </c>
      <c r="Y34" s="27">
        <v>284.91199999999998</v>
      </c>
      <c r="Z34" s="27">
        <v>284.85300000000001</v>
      </c>
      <c r="AA34" s="27">
        <v>284.83699999999999</v>
      </c>
      <c r="AB34" s="34">
        <v>284.75400000000002</v>
      </c>
      <c r="AC34" s="34">
        <v>284.714</v>
      </c>
      <c r="AD34" s="34">
        <v>284.67399999999998</v>
      </c>
      <c r="AE34" s="60">
        <v>284.62700000000001</v>
      </c>
      <c r="AF34" s="60">
        <v>284.69099999999997</v>
      </c>
      <c r="AG34" s="60">
        <v>284.43900000000002</v>
      </c>
      <c r="AH34" s="60">
        <v>284.41399999999999</v>
      </c>
      <c r="AI34" s="60">
        <f>D34</f>
        <v>284.49400000000003</v>
      </c>
      <c r="AJ34" s="44">
        <f t="shared" si="42"/>
        <v>-0.11700000000001864</v>
      </c>
      <c r="AK34" s="27">
        <f t="shared" si="43"/>
        <v>-5.1999999999964075E-2</v>
      </c>
      <c r="AL34" s="29">
        <f t="shared" si="44"/>
        <v>-5.0999999999987722E-2</v>
      </c>
      <c r="AM34" s="29">
        <f t="shared" si="45"/>
        <v>-6.9000000000016826E-2</v>
      </c>
      <c r="AN34" s="29">
        <f t="shared" si="46"/>
        <v>-8.100000000001728E-2</v>
      </c>
      <c r="AO34" s="29">
        <f t="shared" ref="AO34:AO52" si="58">X34-V34</f>
        <v>-6.8999999999959982E-2</v>
      </c>
      <c r="AP34" s="29">
        <f t="shared" ref="AP34:AP62" si="59">Z34-X34</f>
        <v>-0.11700000000001864</v>
      </c>
      <c r="AQ34" s="29">
        <f t="shared" ref="AQ34:AQ62" si="60">AB34-Z34</f>
        <v>-9.8999999999989541E-2</v>
      </c>
      <c r="AR34" s="34">
        <f t="shared" ref="AR34:AR62" si="61">AC34-AB34</f>
        <v>-4.0000000000020464E-2</v>
      </c>
      <c r="AS34" s="38">
        <f t="shared" ref="AS34:AS62" si="62">AE34-AC34</f>
        <v>-8.6999999999989086E-2</v>
      </c>
      <c r="AT34" s="38">
        <f>AG34-AE34</f>
        <v>-0.18799999999998818</v>
      </c>
      <c r="AU34" s="38">
        <f t="shared" si="6"/>
        <v>5.5000000000006821E-2</v>
      </c>
      <c r="AV34" s="14">
        <f t="shared" si="25"/>
        <v>-7.6249999999996973E-2</v>
      </c>
      <c r="AW34" s="22">
        <f t="shared" si="47"/>
        <v>-1.9000000000005457E-2</v>
      </c>
      <c r="AX34" s="29">
        <f t="shared" si="48"/>
        <v>-0.11099999999999</v>
      </c>
      <c r="AY34" s="29">
        <f t="shared" si="49"/>
        <v>-4.3000000000006366E-2</v>
      </c>
      <c r="AZ34" s="29">
        <f t="shared" si="50"/>
        <v>-0.1169999999999618</v>
      </c>
      <c r="BA34" s="29">
        <f t="shared" ref="BA34:BA52" si="63">W34-U34</f>
        <v>-3.3999999999991815E-2</v>
      </c>
      <c r="BB34" s="29">
        <f t="shared" ref="BB34:BB52" si="64">Y34-W34</f>
        <v>-5.1000000000044565E-2</v>
      </c>
      <c r="BC34" s="29">
        <f t="shared" ref="BC34:BC77" si="65">AA34-Y34</f>
        <v>-7.4999999999988631E-2</v>
      </c>
      <c r="BD34" s="29">
        <f t="shared" ref="BD34:BD77" si="66">(AD34-AA34)/2</f>
        <v>-8.1500000000005457E-2</v>
      </c>
      <c r="BE34" s="29">
        <f t="shared" ref="BE34:BE62" si="67">AF34-AD34</f>
        <v>1.6999999999995907E-2</v>
      </c>
      <c r="BF34" s="29">
        <f t="shared" ref="BF34:BF83" si="68">AH34-AF34</f>
        <v>-0.27699999999998681</v>
      </c>
      <c r="BG34" s="29">
        <f t="shared" ref="BG34:BG83" si="69">(AH34-AD34)/2</f>
        <v>-0.12999999999999545</v>
      </c>
      <c r="BH34" s="29">
        <f t="shared" ref="BH34:BH63" si="70">(AH34-$I34)/(2023-$H34)</f>
        <v>-7.9363636363635498E-2</v>
      </c>
    </row>
    <row r="35" spans="1:60" x14ac:dyDescent="0.25">
      <c r="A35" s="3">
        <v>142</v>
      </c>
      <c r="B35" s="27">
        <v>2239184.2620000001</v>
      </c>
      <c r="C35" s="27">
        <v>6329798.0070000002</v>
      </c>
      <c r="D35" s="27">
        <v>430.35199999999998</v>
      </c>
      <c r="E35" s="90" t="s">
        <v>47</v>
      </c>
      <c r="F35" s="54">
        <v>2011</v>
      </c>
      <c r="G35" s="27">
        <v>430.39600000000002</v>
      </c>
      <c r="H35" s="54">
        <v>2012</v>
      </c>
      <c r="I35" s="27">
        <v>430.37799999999999</v>
      </c>
      <c r="J35" s="54">
        <v>2023</v>
      </c>
      <c r="K35" s="149"/>
      <c r="L35" s="44">
        <v>430.39600000000002</v>
      </c>
      <c r="M35" s="27">
        <v>430.37799999999999</v>
      </c>
      <c r="N35" s="27">
        <v>430.30799999999999</v>
      </c>
      <c r="O35" s="27">
        <v>430.30799999999999</v>
      </c>
      <c r="P35" s="27">
        <v>430.36</v>
      </c>
      <c r="Q35" s="27">
        <v>430.38299999999998</v>
      </c>
      <c r="R35" s="27">
        <v>430.28100000000001</v>
      </c>
      <c r="S35" s="27">
        <v>430.41300000000001</v>
      </c>
      <c r="T35" s="27">
        <v>430.42700000000002</v>
      </c>
      <c r="U35" s="27">
        <v>430.38900000000001</v>
      </c>
      <c r="V35" s="27">
        <v>430.38799999999998</v>
      </c>
      <c r="W35" s="27">
        <v>430.41500000000002</v>
      </c>
      <c r="X35" s="27">
        <v>430.37</v>
      </c>
      <c r="Y35" s="27">
        <v>430.34699999999998</v>
      </c>
      <c r="Z35" s="27">
        <v>430.32100000000003</v>
      </c>
      <c r="AA35" s="27">
        <v>430.351</v>
      </c>
      <c r="AB35" s="34">
        <v>430.31599999999997</v>
      </c>
      <c r="AC35" s="34">
        <v>430.34500000000003</v>
      </c>
      <c r="AD35" s="34">
        <v>430.40100000000001</v>
      </c>
      <c r="AE35" s="60">
        <v>430.346</v>
      </c>
      <c r="AF35" s="60">
        <v>430.435</v>
      </c>
      <c r="AG35" s="60">
        <v>430.20299999999997</v>
      </c>
      <c r="AH35" s="60">
        <v>430.35899999999998</v>
      </c>
      <c r="AI35" s="60">
        <f t="shared" ref="AI35:AI83" si="71">D35</f>
        <v>430.35199999999998</v>
      </c>
      <c r="AJ35" s="44">
        <f t="shared" si="42"/>
        <v>-8.8000000000022283E-2</v>
      </c>
      <c r="AK35" s="27">
        <f t="shared" si="43"/>
        <v>5.2000000000020918E-2</v>
      </c>
      <c r="AL35" s="29">
        <f t="shared" si="44"/>
        <v>-7.9000000000007731E-2</v>
      </c>
      <c r="AM35" s="29">
        <f t="shared" si="45"/>
        <v>0.14600000000001501</v>
      </c>
      <c r="AN35" s="29">
        <f t="shared" si="46"/>
        <v>-3.900000000004411E-2</v>
      </c>
      <c r="AO35" s="29">
        <f t="shared" si="58"/>
        <v>-1.799999999997226E-2</v>
      </c>
      <c r="AP35" s="29">
        <f t="shared" si="59"/>
        <v>-4.8999999999978172E-2</v>
      </c>
      <c r="AQ35" s="29">
        <f t="shared" si="60"/>
        <v>-5.0000000000522959E-3</v>
      </c>
      <c r="AR35" s="34">
        <f t="shared" si="61"/>
        <v>2.9000000000053205E-2</v>
      </c>
      <c r="AS35" s="38">
        <f t="shared" si="62"/>
        <v>9.9999999997635314E-4</v>
      </c>
      <c r="AT35" s="38">
        <f t="shared" ref="AT35:AT83" si="72">AG35-AE35</f>
        <v>-0.1430000000000291</v>
      </c>
      <c r="AU35" s="38">
        <f t="shared" si="6"/>
        <v>0.14900000000000091</v>
      </c>
      <c r="AV35" s="14">
        <f t="shared" si="25"/>
        <v>-3.6666666666699634E-3</v>
      </c>
      <c r="AW35" s="22">
        <f t="shared" si="47"/>
        <v>-6.9999999999993179E-2</v>
      </c>
      <c r="AX35" s="29">
        <f t="shared" si="48"/>
        <v>7.4999999999988631E-2</v>
      </c>
      <c r="AY35" s="29">
        <f t="shared" si="49"/>
        <v>3.0000000000029559E-2</v>
      </c>
      <c r="AZ35" s="29">
        <f t="shared" si="50"/>
        <v>-2.4000000000000909E-2</v>
      </c>
      <c r="BA35" s="29">
        <f t="shared" si="63"/>
        <v>2.6000000000010459E-2</v>
      </c>
      <c r="BB35" s="29">
        <f t="shared" si="64"/>
        <v>-6.8000000000040473E-2</v>
      </c>
      <c r="BC35" s="29">
        <f t="shared" si="65"/>
        <v>4.0000000000190994E-3</v>
      </c>
      <c r="BD35" s="29">
        <f t="shared" si="66"/>
        <v>2.5000000000005684E-2</v>
      </c>
      <c r="BE35" s="29">
        <f t="shared" si="67"/>
        <v>3.3999999999991815E-2</v>
      </c>
      <c r="BF35" s="29">
        <f t="shared" si="68"/>
        <v>-7.6000000000021828E-2</v>
      </c>
      <c r="BG35" s="29">
        <f t="shared" si="69"/>
        <v>-2.1000000000015007E-2</v>
      </c>
      <c r="BH35" s="29">
        <f t="shared" si="70"/>
        <v>-1.7272727272732234E-3</v>
      </c>
    </row>
    <row r="36" spans="1:60" ht="14.1" customHeight="1" x14ac:dyDescent="0.25">
      <c r="A36" s="3">
        <v>143</v>
      </c>
      <c r="B36" s="27">
        <v>2282575.5669999998</v>
      </c>
      <c r="C36" s="27">
        <v>6342236.4500000002</v>
      </c>
      <c r="D36" s="27">
        <v>1107.1279999999999</v>
      </c>
      <c r="E36" s="67" t="s">
        <v>48</v>
      </c>
      <c r="F36" s="54">
        <v>2011</v>
      </c>
      <c r="G36" s="27">
        <v>1107.192</v>
      </c>
      <c r="H36" s="54">
        <v>2014</v>
      </c>
      <c r="I36" s="27">
        <v>1107.172</v>
      </c>
      <c r="J36" s="54">
        <v>2023</v>
      </c>
      <c r="K36" s="149"/>
      <c r="L36" s="44">
        <v>1107.192</v>
      </c>
      <c r="M36" s="27"/>
      <c r="N36" s="27"/>
      <c r="O36" s="27"/>
      <c r="P36" s="27">
        <v>1107.123</v>
      </c>
      <c r="Q36" s="27">
        <v>1107.172</v>
      </c>
      <c r="R36" s="27">
        <v>1107.047</v>
      </c>
      <c r="S36" s="27">
        <v>1107.1369999999999</v>
      </c>
      <c r="T36" s="27">
        <v>1107.165</v>
      </c>
      <c r="U36" s="27">
        <v>1107.2619999999999</v>
      </c>
      <c r="V36" s="27">
        <v>1107.105</v>
      </c>
      <c r="W36" s="27">
        <v>1107.2929999999999</v>
      </c>
      <c r="X36" s="27">
        <v>1107.1300000000001</v>
      </c>
      <c r="Y36" s="27">
        <v>1107.1279999999999</v>
      </c>
      <c r="Z36" s="27">
        <v>1107.077</v>
      </c>
      <c r="AA36" s="27">
        <v>1107.172</v>
      </c>
      <c r="AB36" s="34">
        <v>1107.1099999999999</v>
      </c>
      <c r="AC36" s="34">
        <v>1107.087</v>
      </c>
      <c r="AD36" s="34">
        <v>1107.3140000000001</v>
      </c>
      <c r="AE36" s="60">
        <v>1107.1130000000001</v>
      </c>
      <c r="AF36" s="60">
        <v>1107.191</v>
      </c>
      <c r="AG36" s="60">
        <v>1106.9639999999999</v>
      </c>
      <c r="AH36" s="60">
        <v>1107.1469999999999</v>
      </c>
      <c r="AI36" s="60">
        <f t="shared" si="71"/>
        <v>1107.1279999999999</v>
      </c>
      <c r="AJ36" s="44"/>
      <c r="AK36" s="27"/>
      <c r="AL36" s="29">
        <f t="shared" si="44"/>
        <v>-7.6000000000021828E-2</v>
      </c>
      <c r="AM36" s="29">
        <f t="shared" si="45"/>
        <v>0.11799999999993815</v>
      </c>
      <c r="AN36" s="29">
        <f t="shared" si="46"/>
        <v>-5.999999999994543E-2</v>
      </c>
      <c r="AO36" s="29">
        <f t="shared" si="58"/>
        <v>2.5000000000090949E-2</v>
      </c>
      <c r="AP36" s="29">
        <f t="shared" si="59"/>
        <v>-5.3000000000110958E-2</v>
      </c>
      <c r="AQ36" s="29">
        <f t="shared" si="60"/>
        <v>3.2999999999901775E-2</v>
      </c>
      <c r="AR36" s="38">
        <f t="shared" si="61"/>
        <v>-2.299999999991087E-2</v>
      </c>
      <c r="AS36" s="38">
        <f t="shared" si="62"/>
        <v>2.6000000000067303E-2</v>
      </c>
      <c r="AT36" s="38">
        <f t="shared" si="72"/>
        <v>-0.1490000000001146</v>
      </c>
      <c r="AU36" s="38">
        <f t="shared" si="6"/>
        <v>0.16399999999998727</v>
      </c>
      <c r="AV36" s="14">
        <f t="shared" si="25"/>
        <v>-5.3333333333398514E-3</v>
      </c>
      <c r="AW36" s="22"/>
      <c r="AX36" s="28"/>
      <c r="AY36" s="29">
        <f t="shared" si="49"/>
        <v>-3.5000000000081855E-2</v>
      </c>
      <c r="AZ36" s="29">
        <f t="shared" si="50"/>
        <v>0.125</v>
      </c>
      <c r="BA36" s="29">
        <f t="shared" si="63"/>
        <v>3.0999999999949068E-2</v>
      </c>
      <c r="BB36" s="29">
        <f t="shared" si="64"/>
        <v>-0.16499999999996362</v>
      </c>
      <c r="BC36" s="29">
        <f t="shared" si="65"/>
        <v>4.4000000000096406E-2</v>
      </c>
      <c r="BD36" s="29">
        <f t="shared" si="66"/>
        <v>7.1000000000026375E-2</v>
      </c>
      <c r="BE36" s="29">
        <f t="shared" si="67"/>
        <v>-0.12300000000004729</v>
      </c>
      <c r="BF36" s="29">
        <f t="shared" si="68"/>
        <v>-4.4000000000096406E-2</v>
      </c>
      <c r="BG36" s="29">
        <f t="shared" si="69"/>
        <v>-8.350000000007185E-2</v>
      </c>
      <c r="BH36" s="28">
        <f t="shared" si="70"/>
        <v>-2.7777777777878831E-3</v>
      </c>
    </row>
    <row r="37" spans="1:60" x14ac:dyDescent="0.25">
      <c r="A37" s="3">
        <v>144</v>
      </c>
      <c r="B37" s="27">
        <v>2221992.3870000001</v>
      </c>
      <c r="C37" s="27">
        <v>6029550.9139999999</v>
      </c>
      <c r="D37" s="27">
        <v>313.80200000000002</v>
      </c>
      <c r="E37" s="90" t="s">
        <v>49</v>
      </c>
      <c r="F37" s="54">
        <v>2011</v>
      </c>
      <c r="G37" s="27">
        <v>314.23500000000001</v>
      </c>
      <c r="H37" s="54">
        <v>2012</v>
      </c>
      <c r="I37" s="27">
        <v>314.30799999999999</v>
      </c>
      <c r="J37" s="54">
        <v>2023</v>
      </c>
      <c r="K37" s="149"/>
      <c r="L37" s="44">
        <v>314.23500000000001</v>
      </c>
      <c r="M37" s="27">
        <v>314.30799999999999</v>
      </c>
      <c r="N37" s="27">
        <v>314.26499999999999</v>
      </c>
      <c r="O37" s="27">
        <v>314.25900000000001</v>
      </c>
      <c r="P37" s="27">
        <v>314.20999999999998</v>
      </c>
      <c r="Q37" s="27">
        <v>314.10300000000001</v>
      </c>
      <c r="R37" s="27">
        <v>314.17899999999997</v>
      </c>
      <c r="S37" s="27">
        <v>314.14999999999998</v>
      </c>
      <c r="T37" s="27">
        <v>314.142</v>
      </c>
      <c r="U37" s="27">
        <v>314.09399999999999</v>
      </c>
      <c r="V37" s="27">
        <v>314.09800000000001</v>
      </c>
      <c r="W37" s="27">
        <v>314.084</v>
      </c>
      <c r="X37" s="27">
        <v>314.06</v>
      </c>
      <c r="Y37" s="27">
        <v>314.03399999999999</v>
      </c>
      <c r="Z37" s="27">
        <v>314.02</v>
      </c>
      <c r="AA37" s="27">
        <v>314.03899999999999</v>
      </c>
      <c r="AB37" s="34">
        <v>314.03100000000001</v>
      </c>
      <c r="AC37" s="34">
        <v>313.95699999999999</v>
      </c>
      <c r="AD37" s="34">
        <v>313.91899999999998</v>
      </c>
      <c r="AE37" s="60">
        <v>313.904</v>
      </c>
      <c r="AF37" s="60">
        <v>313.87200000000001</v>
      </c>
      <c r="AG37" s="60">
        <v>313.81299999999999</v>
      </c>
      <c r="AH37" s="60">
        <v>313.79000000000002</v>
      </c>
      <c r="AI37" s="60">
        <f t="shared" si="71"/>
        <v>313.80200000000002</v>
      </c>
      <c r="AJ37" s="44">
        <f>N37-L37</f>
        <v>2.9999999999972715E-2</v>
      </c>
      <c r="AK37" s="27">
        <f>P37-N37</f>
        <v>-5.5000000000006821E-2</v>
      </c>
      <c r="AL37" s="29">
        <f t="shared" si="44"/>
        <v>-3.1000000000005912E-2</v>
      </c>
      <c r="AM37" s="29">
        <f t="shared" si="45"/>
        <v>-3.6999999999977717E-2</v>
      </c>
      <c r="AN37" s="29">
        <f t="shared" si="46"/>
        <v>-4.399999999998272E-2</v>
      </c>
      <c r="AO37" s="29">
        <f t="shared" si="58"/>
        <v>-3.8000000000010914E-2</v>
      </c>
      <c r="AP37" s="29">
        <f t="shared" si="59"/>
        <v>-4.0000000000020464E-2</v>
      </c>
      <c r="AQ37" s="29">
        <f t="shared" si="60"/>
        <v>1.1000000000024102E-2</v>
      </c>
      <c r="AR37" s="38">
        <f t="shared" si="61"/>
        <v>-7.4000000000012278E-2</v>
      </c>
      <c r="AS37" s="38">
        <f t="shared" si="62"/>
        <v>-5.2999999999997272E-2</v>
      </c>
      <c r="AT37" s="38">
        <f t="shared" si="72"/>
        <v>-9.1000000000008185E-2</v>
      </c>
      <c r="AU37" s="38">
        <f t="shared" si="6"/>
        <v>-1.0999999999967258E-2</v>
      </c>
      <c r="AV37" s="14">
        <f t="shared" si="25"/>
        <v>-3.6083333333332725E-2</v>
      </c>
      <c r="AW37" s="22">
        <f>O37-M37</f>
        <v>-4.8999999999978172E-2</v>
      </c>
      <c r="AX37" s="29">
        <f>Q37-O37</f>
        <v>-0.15600000000000591</v>
      </c>
      <c r="AY37" s="29">
        <f t="shared" si="49"/>
        <v>4.6999999999968622E-2</v>
      </c>
      <c r="AZ37" s="29">
        <f t="shared" si="50"/>
        <v>-5.5999999999983174E-2</v>
      </c>
      <c r="BA37" s="29">
        <f t="shared" si="63"/>
        <v>-9.9999999999909051E-3</v>
      </c>
      <c r="BB37" s="29">
        <f t="shared" si="64"/>
        <v>-5.0000000000011369E-2</v>
      </c>
      <c r="BC37" s="29">
        <f t="shared" si="65"/>
        <v>4.9999999999954525E-3</v>
      </c>
      <c r="BD37" s="29">
        <f t="shared" si="66"/>
        <v>-6.0000000000002274E-2</v>
      </c>
      <c r="BE37" s="29">
        <f t="shared" si="67"/>
        <v>-4.6999999999968622E-2</v>
      </c>
      <c r="BF37" s="29">
        <f t="shared" si="68"/>
        <v>-8.1999999999993634E-2</v>
      </c>
      <c r="BG37" s="29">
        <f t="shared" si="69"/>
        <v>-6.4499999999981128E-2</v>
      </c>
      <c r="BH37" s="29">
        <f t="shared" si="70"/>
        <v>-4.7090909090906567E-2</v>
      </c>
    </row>
    <row r="38" spans="1:60" x14ac:dyDescent="0.25">
      <c r="A38" s="55">
        <v>145</v>
      </c>
      <c r="B38" s="56">
        <v>2199134.5099999998</v>
      </c>
      <c r="C38" s="56">
        <v>6397420.4000000004</v>
      </c>
      <c r="D38" s="56">
        <v>494.09</v>
      </c>
      <c r="E38" s="64" t="s">
        <v>50</v>
      </c>
      <c r="F38" s="54">
        <v>2011</v>
      </c>
      <c r="G38" s="27">
        <v>494.09399999999999</v>
      </c>
      <c r="H38" s="54">
        <v>2012</v>
      </c>
      <c r="I38" s="27">
        <v>494.09</v>
      </c>
      <c r="J38" s="54">
        <v>2023</v>
      </c>
      <c r="K38" s="149"/>
      <c r="L38" s="44">
        <v>494.09399999999999</v>
      </c>
      <c r="M38" s="27">
        <v>494.09</v>
      </c>
      <c r="N38" s="27">
        <v>494.09</v>
      </c>
      <c r="O38" s="27">
        <v>494.09</v>
      </c>
      <c r="P38" s="27">
        <v>494.09</v>
      </c>
      <c r="Q38" s="27">
        <v>494.09</v>
      </c>
      <c r="R38" s="27">
        <v>494.1</v>
      </c>
      <c r="S38" s="27">
        <v>494.1</v>
      </c>
      <c r="T38" s="27">
        <v>494.09</v>
      </c>
      <c r="U38" s="27">
        <v>494.09</v>
      </c>
      <c r="V38" s="34">
        <v>494.09</v>
      </c>
      <c r="W38" s="27">
        <v>494.09</v>
      </c>
      <c r="X38" s="27">
        <v>494.09</v>
      </c>
      <c r="Y38" s="27">
        <v>494.09</v>
      </c>
      <c r="Z38" s="27">
        <v>494.09</v>
      </c>
      <c r="AA38" s="27">
        <v>494.09</v>
      </c>
      <c r="AB38" s="34">
        <v>494.09</v>
      </c>
      <c r="AC38" s="34">
        <v>494.09</v>
      </c>
      <c r="AD38" s="34">
        <v>494.29199999999997</v>
      </c>
      <c r="AE38" s="60">
        <v>494.11700000000002</v>
      </c>
      <c r="AF38" s="60">
        <v>494.14299999999997</v>
      </c>
      <c r="AG38" s="60">
        <v>493.947</v>
      </c>
      <c r="AH38" s="60">
        <v>494.09</v>
      </c>
      <c r="AI38" s="60">
        <f t="shared" si="71"/>
        <v>494.09</v>
      </c>
      <c r="AJ38" s="44">
        <f>N38-L38</f>
        <v>-4.0000000000190994E-3</v>
      </c>
      <c r="AK38" s="27">
        <f>P38-N38</f>
        <v>0</v>
      </c>
      <c r="AL38" s="29">
        <f t="shared" si="44"/>
        <v>1.0000000000047748E-2</v>
      </c>
      <c r="AM38" s="29">
        <f t="shared" si="45"/>
        <v>-1.0000000000047748E-2</v>
      </c>
      <c r="AN38" s="29">
        <f t="shared" si="46"/>
        <v>0</v>
      </c>
      <c r="AO38" s="29">
        <f t="shared" si="58"/>
        <v>0</v>
      </c>
      <c r="AP38" s="29">
        <f t="shared" si="59"/>
        <v>0</v>
      </c>
      <c r="AQ38" s="29">
        <f t="shared" si="60"/>
        <v>0</v>
      </c>
      <c r="AR38" s="38">
        <f t="shared" si="61"/>
        <v>0</v>
      </c>
      <c r="AS38" s="38">
        <f t="shared" si="62"/>
        <v>2.7000000000043656E-2</v>
      </c>
      <c r="AT38" s="38">
        <f t="shared" si="72"/>
        <v>-0.17000000000001592</v>
      </c>
      <c r="AU38" s="38">
        <f>AI38-AG38</f>
        <v>0.14299999999997226</v>
      </c>
      <c r="AV38" s="14">
        <f t="shared" si="25"/>
        <v>-3.3333333333492493E-4</v>
      </c>
      <c r="AW38" s="22">
        <f>O38-M38</f>
        <v>0</v>
      </c>
      <c r="AX38" s="29">
        <f>Q38-O38</f>
        <v>0</v>
      </c>
      <c r="AY38" s="29">
        <f t="shared" si="49"/>
        <v>1.0000000000047748E-2</v>
      </c>
      <c r="AZ38" s="29">
        <f t="shared" si="50"/>
        <v>-1.0000000000047748E-2</v>
      </c>
      <c r="BA38" s="29">
        <f t="shared" si="63"/>
        <v>0</v>
      </c>
      <c r="BB38" s="29">
        <f t="shared" si="64"/>
        <v>0</v>
      </c>
      <c r="BC38" s="29">
        <f t="shared" si="65"/>
        <v>0</v>
      </c>
      <c r="BD38" s="29">
        <f t="shared" si="66"/>
        <v>0.10099999999999909</v>
      </c>
      <c r="BE38" s="29">
        <f t="shared" si="67"/>
        <v>-0.14900000000000091</v>
      </c>
      <c r="BF38" s="29">
        <f t="shared" si="68"/>
        <v>-5.2999999999997272E-2</v>
      </c>
      <c r="BG38" s="29">
        <f t="shared" si="69"/>
        <v>-0.10099999999999909</v>
      </c>
      <c r="BH38" s="29">
        <f t="shared" si="70"/>
        <v>0</v>
      </c>
    </row>
    <row r="39" spans="1:60" x14ac:dyDescent="0.25">
      <c r="A39" s="55">
        <v>146</v>
      </c>
      <c r="B39" s="56">
        <v>2275034.3199999998</v>
      </c>
      <c r="C39" s="56">
        <v>5961519.2999999998</v>
      </c>
      <c r="D39" s="56">
        <v>285.33999999999997</v>
      </c>
      <c r="E39" s="64" t="s">
        <v>51</v>
      </c>
      <c r="F39" s="54">
        <v>2011</v>
      </c>
      <c r="G39" s="27">
        <v>285.34399999999999</v>
      </c>
      <c r="H39" s="54">
        <v>2012</v>
      </c>
      <c r="I39" s="27">
        <v>285.41399999999999</v>
      </c>
      <c r="J39" s="54">
        <v>2023</v>
      </c>
      <c r="K39" s="149"/>
      <c r="L39" s="44">
        <v>285.34399999999999</v>
      </c>
      <c r="M39" s="27">
        <v>285.41399999999999</v>
      </c>
      <c r="N39" s="27">
        <v>285.33999999999997</v>
      </c>
      <c r="O39" s="27">
        <v>285.33999999999997</v>
      </c>
      <c r="P39" s="27">
        <v>285.33999999999997</v>
      </c>
      <c r="Q39" s="27">
        <v>285.33999999999997</v>
      </c>
      <c r="R39" s="27">
        <v>285.33999999999997</v>
      </c>
      <c r="S39" s="27">
        <v>285.33999999999997</v>
      </c>
      <c r="T39" s="27">
        <v>285.33999999999997</v>
      </c>
      <c r="U39" s="27">
        <v>285.33999999999997</v>
      </c>
      <c r="V39" s="34">
        <v>285.33999999999997</v>
      </c>
      <c r="W39" s="27">
        <v>285.33999999999997</v>
      </c>
      <c r="X39" s="27">
        <v>285.33999999999997</v>
      </c>
      <c r="Y39" s="27">
        <v>285.33999999999997</v>
      </c>
      <c r="Z39" s="27">
        <v>285.33999999999997</v>
      </c>
      <c r="AA39" s="27">
        <v>285.33999999999997</v>
      </c>
      <c r="AB39" s="34">
        <v>285.33999999999997</v>
      </c>
      <c r="AC39" s="34">
        <v>285.33999999999997</v>
      </c>
      <c r="AD39" s="34">
        <v>285.33999999999997</v>
      </c>
      <c r="AE39" s="60">
        <v>285.33999999999997</v>
      </c>
      <c r="AF39" s="60">
        <v>285.33999999999997</v>
      </c>
      <c r="AG39" s="60">
        <v>285.33999999999997</v>
      </c>
      <c r="AH39" s="60">
        <v>285.33999999999997</v>
      </c>
      <c r="AI39" s="60">
        <f t="shared" si="71"/>
        <v>285.33999999999997</v>
      </c>
      <c r="AJ39" s="44">
        <f>N39-L39</f>
        <v>-4.0000000000190994E-3</v>
      </c>
      <c r="AK39" s="27">
        <f>P39-N39</f>
        <v>0</v>
      </c>
      <c r="AL39" s="29">
        <f t="shared" si="44"/>
        <v>0</v>
      </c>
      <c r="AM39" s="29">
        <f t="shared" si="45"/>
        <v>0</v>
      </c>
      <c r="AN39" s="29">
        <f t="shared" si="46"/>
        <v>0</v>
      </c>
      <c r="AO39" s="29">
        <f t="shared" si="58"/>
        <v>0</v>
      </c>
      <c r="AP39" s="29">
        <f t="shared" si="59"/>
        <v>0</v>
      </c>
      <c r="AQ39" s="29">
        <f t="shared" si="60"/>
        <v>0</v>
      </c>
      <c r="AR39" s="38">
        <f t="shared" si="61"/>
        <v>0</v>
      </c>
      <c r="AS39" s="38">
        <f t="shared" si="62"/>
        <v>0</v>
      </c>
      <c r="AT39" s="38">
        <f t="shared" si="72"/>
        <v>0</v>
      </c>
      <c r="AU39" s="38">
        <f t="shared" si="6"/>
        <v>0</v>
      </c>
      <c r="AV39" s="14">
        <f t="shared" si="25"/>
        <v>-3.3333333333492493E-4</v>
      </c>
      <c r="AW39" s="22">
        <f>O39-M39</f>
        <v>-7.4000000000012278E-2</v>
      </c>
      <c r="AX39" s="29">
        <f>Q39-O39</f>
        <v>0</v>
      </c>
      <c r="AY39" s="29">
        <f t="shared" si="49"/>
        <v>0</v>
      </c>
      <c r="AZ39" s="29">
        <f t="shared" si="50"/>
        <v>0</v>
      </c>
      <c r="BA39" s="29">
        <f t="shared" si="63"/>
        <v>0</v>
      </c>
      <c r="BB39" s="29">
        <f t="shared" si="64"/>
        <v>0</v>
      </c>
      <c r="BC39" s="29">
        <f t="shared" si="65"/>
        <v>0</v>
      </c>
      <c r="BD39" s="29">
        <f t="shared" si="66"/>
        <v>0</v>
      </c>
      <c r="BE39" s="29">
        <f t="shared" si="67"/>
        <v>0</v>
      </c>
      <c r="BF39" s="29">
        <f t="shared" si="68"/>
        <v>0</v>
      </c>
      <c r="BG39" s="29">
        <f t="shared" si="69"/>
        <v>0</v>
      </c>
      <c r="BH39" s="29">
        <f t="shared" si="70"/>
        <v>-6.7272727272738439E-3</v>
      </c>
    </row>
    <row r="40" spans="1:60" x14ac:dyDescent="0.25">
      <c r="A40" s="3">
        <v>147</v>
      </c>
      <c r="B40" s="27">
        <v>2238612.233</v>
      </c>
      <c r="C40" s="27">
        <v>6104481.3219999997</v>
      </c>
      <c r="D40" s="27">
        <v>122.396</v>
      </c>
      <c r="E40" s="90" t="s">
        <v>52</v>
      </c>
      <c r="F40" s="54">
        <v>2011</v>
      </c>
      <c r="G40" s="27">
        <v>124.21599999999999</v>
      </c>
      <c r="H40" s="54">
        <v>2012</v>
      </c>
      <c r="I40" s="27">
        <v>124.137</v>
      </c>
      <c r="J40" s="54">
        <v>2023</v>
      </c>
      <c r="K40" s="149"/>
      <c r="L40" s="44">
        <v>124.21599999999999</v>
      </c>
      <c r="M40" s="27">
        <v>124.137</v>
      </c>
      <c r="N40" s="27">
        <v>124.074</v>
      </c>
      <c r="O40" s="27">
        <v>123.935</v>
      </c>
      <c r="P40" s="27">
        <v>123.91</v>
      </c>
      <c r="Q40" s="27">
        <v>123.852</v>
      </c>
      <c r="R40" s="27">
        <v>123.804</v>
      </c>
      <c r="S40" s="27">
        <v>123.648</v>
      </c>
      <c r="T40" s="27">
        <v>123.548</v>
      </c>
      <c r="U40" s="27">
        <v>123.539</v>
      </c>
      <c r="V40" s="27">
        <v>123.407</v>
      </c>
      <c r="W40" s="27">
        <v>123.26600000000001</v>
      </c>
      <c r="X40" s="27">
        <v>123.28</v>
      </c>
      <c r="Y40" s="27">
        <v>123.126</v>
      </c>
      <c r="Z40" s="27">
        <v>123.125</v>
      </c>
      <c r="AA40" s="27">
        <v>123.03700000000001</v>
      </c>
      <c r="AB40" s="34">
        <v>122.991</v>
      </c>
      <c r="AC40" s="34">
        <v>122.834</v>
      </c>
      <c r="AD40" s="34">
        <v>122.721</v>
      </c>
      <c r="AE40" s="60">
        <v>122.673</v>
      </c>
      <c r="AF40" s="60">
        <v>122.557</v>
      </c>
      <c r="AG40" s="60">
        <v>122.39</v>
      </c>
      <c r="AH40" s="60">
        <v>122.354</v>
      </c>
      <c r="AI40" s="60">
        <f t="shared" si="71"/>
        <v>122.396</v>
      </c>
      <c r="AJ40" s="44">
        <f>N40-L40</f>
        <v>-0.14199999999999591</v>
      </c>
      <c r="AK40" s="27">
        <f>P40-N40</f>
        <v>-0.16400000000000148</v>
      </c>
      <c r="AL40" s="29">
        <f t="shared" si="44"/>
        <v>-0.10599999999999454</v>
      </c>
      <c r="AM40" s="29">
        <f t="shared" si="45"/>
        <v>-0.25600000000000023</v>
      </c>
      <c r="AN40" s="29">
        <f t="shared" si="46"/>
        <v>-0.14100000000000534</v>
      </c>
      <c r="AO40" s="29">
        <f t="shared" si="58"/>
        <v>-0.12699999999999534</v>
      </c>
      <c r="AP40" s="29">
        <f t="shared" si="59"/>
        <v>-0.15500000000000114</v>
      </c>
      <c r="AQ40" s="29">
        <f t="shared" si="60"/>
        <v>-0.13400000000000034</v>
      </c>
      <c r="AR40" s="38">
        <f t="shared" si="61"/>
        <v>-0.15699999999999648</v>
      </c>
      <c r="AS40" s="38">
        <f t="shared" si="62"/>
        <v>-0.16100000000000136</v>
      </c>
      <c r="AT40" s="38">
        <f t="shared" si="72"/>
        <v>-0.28300000000000125</v>
      </c>
      <c r="AU40" s="38">
        <f t="shared" si="6"/>
        <v>6.0000000000002274E-3</v>
      </c>
      <c r="AV40" s="14">
        <f t="shared" si="25"/>
        <v>-0.15166666666666609</v>
      </c>
      <c r="AW40" s="22">
        <f>O40-M40</f>
        <v>-0.20199999999999818</v>
      </c>
      <c r="AX40" s="29">
        <f>Q40-O40</f>
        <v>-8.2999999999998408E-2</v>
      </c>
      <c r="AY40" s="29">
        <f t="shared" si="49"/>
        <v>-0.20400000000000773</v>
      </c>
      <c r="AZ40" s="29">
        <f t="shared" si="50"/>
        <v>-0.10899999999999466</v>
      </c>
      <c r="BA40" s="29">
        <f t="shared" si="63"/>
        <v>-0.27299999999999613</v>
      </c>
      <c r="BB40" s="29">
        <f t="shared" si="64"/>
        <v>-0.14000000000000057</v>
      </c>
      <c r="BC40" s="29">
        <f t="shared" si="65"/>
        <v>-8.8999999999998636E-2</v>
      </c>
      <c r="BD40" s="29">
        <f t="shared" si="66"/>
        <v>-0.15800000000000125</v>
      </c>
      <c r="BE40" s="29">
        <f t="shared" si="67"/>
        <v>-0.16400000000000148</v>
      </c>
      <c r="BF40" s="29">
        <f t="shared" si="68"/>
        <v>-0.20300000000000296</v>
      </c>
      <c r="BG40" s="29">
        <f t="shared" si="69"/>
        <v>-0.18350000000000222</v>
      </c>
      <c r="BH40" s="29">
        <f t="shared" si="70"/>
        <v>-0.1620909090909092</v>
      </c>
    </row>
    <row r="41" spans="1:60" x14ac:dyDescent="0.25">
      <c r="A41" s="3">
        <v>148</v>
      </c>
      <c r="B41" s="27">
        <v>2392467.4509999999</v>
      </c>
      <c r="C41" s="27">
        <v>6061625.6940000001</v>
      </c>
      <c r="D41" s="27">
        <v>134.22900000000001</v>
      </c>
      <c r="E41" s="90" t="s">
        <v>53</v>
      </c>
      <c r="F41" s="54">
        <v>2011</v>
      </c>
      <c r="G41" s="27">
        <v>134.37700000000001</v>
      </c>
      <c r="H41" s="54">
        <v>2012</v>
      </c>
      <c r="I41" s="27">
        <v>134.20599999999999</v>
      </c>
      <c r="J41" s="54">
        <v>2023</v>
      </c>
      <c r="K41" s="149"/>
      <c r="L41" s="44">
        <v>134.37700000000001</v>
      </c>
      <c r="M41" s="27">
        <v>134.20599999999999</v>
      </c>
      <c r="N41" s="27">
        <v>134.20699999999999</v>
      </c>
      <c r="O41" s="27">
        <v>134.167</v>
      </c>
      <c r="P41" s="27">
        <v>134.06200000000001</v>
      </c>
      <c r="Q41" s="27">
        <v>134.22999999999999</v>
      </c>
      <c r="R41" s="27">
        <v>134.22999999999999</v>
      </c>
      <c r="S41" s="27">
        <v>134.131</v>
      </c>
      <c r="T41" s="27">
        <v>134.095</v>
      </c>
      <c r="U41" s="27">
        <v>134.22999999999999</v>
      </c>
      <c r="V41" s="27">
        <v>134.166</v>
      </c>
      <c r="W41" s="27">
        <v>134.25800000000001</v>
      </c>
      <c r="X41" s="27">
        <v>134.13</v>
      </c>
      <c r="Y41" s="27">
        <v>133.95099999999999</v>
      </c>
      <c r="Z41" s="27">
        <v>134.08199999999999</v>
      </c>
      <c r="AA41" s="27">
        <v>134.15100000000001</v>
      </c>
      <c r="AB41" s="34">
        <v>134.22800000000001</v>
      </c>
      <c r="AC41" s="34">
        <v>134.03800000000001</v>
      </c>
      <c r="AD41" s="34">
        <v>133.845</v>
      </c>
      <c r="AE41" s="60">
        <v>133.95099999999999</v>
      </c>
      <c r="AF41" s="60">
        <v>133.94200000000001</v>
      </c>
      <c r="AG41" s="60">
        <v>133.857</v>
      </c>
      <c r="AH41" s="60">
        <v>133.988</v>
      </c>
      <c r="AI41" s="60">
        <f t="shared" si="71"/>
        <v>134.22900000000001</v>
      </c>
      <c r="AJ41" s="44">
        <f>N41-L41</f>
        <v>-0.17000000000001592</v>
      </c>
      <c r="AK41" s="27">
        <f>P41-N41</f>
        <v>-0.14499999999998181</v>
      </c>
      <c r="AL41" s="29">
        <f t="shared" si="44"/>
        <v>0.16799999999997794</v>
      </c>
      <c r="AM41" s="29">
        <f t="shared" si="45"/>
        <v>-0.13499999999999091</v>
      </c>
      <c r="AN41" s="29">
        <f t="shared" si="46"/>
        <v>7.0999999999997954E-2</v>
      </c>
      <c r="AO41" s="29">
        <f t="shared" si="58"/>
        <v>-3.6000000000001364E-2</v>
      </c>
      <c r="AP41" s="29">
        <f t="shared" si="59"/>
        <v>-4.8000000000001819E-2</v>
      </c>
      <c r="AQ41" s="29">
        <f t="shared" si="60"/>
        <v>0.14600000000001501</v>
      </c>
      <c r="AR41" s="38">
        <f t="shared" si="61"/>
        <v>-0.18999999999999773</v>
      </c>
      <c r="AS41" s="38">
        <f t="shared" si="62"/>
        <v>-8.7000000000017508E-2</v>
      </c>
      <c r="AT41" s="38">
        <f t="shared" si="72"/>
        <v>-9.3999999999994088E-2</v>
      </c>
      <c r="AU41" s="38">
        <f t="shared" si="6"/>
        <v>0.3720000000000141</v>
      </c>
      <c r="AV41" s="14">
        <f t="shared" si="25"/>
        <v>-1.2333333333333011E-2</v>
      </c>
      <c r="AW41" s="22">
        <f>O41-M41</f>
        <v>-3.8999999999987267E-2</v>
      </c>
      <c r="AX41" s="29">
        <f>Q41-O41</f>
        <v>6.2999999999988177E-2</v>
      </c>
      <c r="AY41" s="29">
        <f t="shared" si="49"/>
        <v>-9.8999999999989541E-2</v>
      </c>
      <c r="AZ41" s="29">
        <f t="shared" si="50"/>
        <v>9.8999999999989541E-2</v>
      </c>
      <c r="BA41" s="29">
        <f t="shared" si="63"/>
        <v>2.8000000000020009E-2</v>
      </c>
      <c r="BB41" s="29">
        <f t="shared" si="64"/>
        <v>-0.30700000000001637</v>
      </c>
      <c r="BC41" s="29">
        <f t="shared" si="65"/>
        <v>0.20000000000001705</v>
      </c>
      <c r="BD41" s="29">
        <f t="shared" si="66"/>
        <v>-0.1530000000000058</v>
      </c>
      <c r="BE41" s="29">
        <f t="shared" si="67"/>
        <v>9.7000000000008413E-2</v>
      </c>
      <c r="BF41" s="29">
        <f t="shared" si="68"/>
        <v>4.5999999999992269E-2</v>
      </c>
      <c r="BG41" s="29">
        <f t="shared" si="69"/>
        <v>7.1500000000000341E-2</v>
      </c>
      <c r="BH41" s="29">
        <f t="shared" si="70"/>
        <v>-1.9818181818180847E-2</v>
      </c>
    </row>
    <row r="42" spans="1:60" x14ac:dyDescent="0.25">
      <c r="A42" s="19">
        <v>150</v>
      </c>
      <c r="B42" s="27">
        <v>2376151.6129999999</v>
      </c>
      <c r="C42" s="27">
        <v>5971948.2850000001</v>
      </c>
      <c r="D42" s="27">
        <v>97.361000000000004</v>
      </c>
      <c r="E42" s="90" t="s">
        <v>54</v>
      </c>
      <c r="F42" s="54">
        <v>2011</v>
      </c>
      <c r="G42" s="27">
        <v>97.262</v>
      </c>
      <c r="H42" s="54">
        <v>2014</v>
      </c>
      <c r="I42" s="27">
        <v>97.298000000000002</v>
      </c>
      <c r="J42" s="54">
        <v>2023</v>
      </c>
      <c r="K42" s="149"/>
      <c r="L42" s="44">
        <v>97.262</v>
      </c>
      <c r="M42" s="27"/>
      <c r="N42" s="27"/>
      <c r="O42" s="27"/>
      <c r="P42" s="27">
        <v>97.078000000000003</v>
      </c>
      <c r="Q42" s="27">
        <v>97.298000000000002</v>
      </c>
      <c r="R42" s="27">
        <v>97.165999999999997</v>
      </c>
      <c r="S42" s="27">
        <v>97.179000000000002</v>
      </c>
      <c r="T42" s="27">
        <v>97.117999999999995</v>
      </c>
      <c r="U42" s="27">
        <v>97.161500000000004</v>
      </c>
      <c r="V42" s="30">
        <v>97.23</v>
      </c>
      <c r="W42" s="27">
        <v>97.355000000000004</v>
      </c>
      <c r="X42" s="27">
        <v>97.26</v>
      </c>
      <c r="Y42" s="27">
        <v>96.968000000000004</v>
      </c>
      <c r="Z42" s="27">
        <v>97.123000000000005</v>
      </c>
      <c r="AA42" s="27">
        <v>97.165999999999997</v>
      </c>
      <c r="AB42" s="34">
        <v>97.257999999999996</v>
      </c>
      <c r="AC42" s="34">
        <v>97.055999999999997</v>
      </c>
      <c r="AD42" s="34">
        <v>96.896000000000001</v>
      </c>
      <c r="AE42" s="60">
        <v>96.938999999999993</v>
      </c>
      <c r="AF42" s="60">
        <v>96.915999999999997</v>
      </c>
      <c r="AG42" s="60">
        <v>96.935000000000002</v>
      </c>
      <c r="AH42" s="60">
        <v>97.085999999999999</v>
      </c>
      <c r="AI42" s="60">
        <f t="shared" si="71"/>
        <v>97.361000000000004</v>
      </c>
      <c r="AJ42" s="44"/>
      <c r="AK42" s="27"/>
      <c r="AL42" s="29">
        <f t="shared" si="44"/>
        <v>8.7999999999993861E-2</v>
      </c>
      <c r="AM42" s="29">
        <f t="shared" si="45"/>
        <v>-4.8000000000001819E-2</v>
      </c>
      <c r="AN42" s="29">
        <f t="shared" si="46"/>
        <v>0.11200000000000898</v>
      </c>
      <c r="AO42" s="29">
        <f t="shared" si="58"/>
        <v>3.0000000000001137E-2</v>
      </c>
      <c r="AP42" s="29">
        <f t="shared" si="59"/>
        <v>-0.13700000000000045</v>
      </c>
      <c r="AQ42" s="29">
        <f t="shared" si="60"/>
        <v>0.13499999999999091</v>
      </c>
      <c r="AR42" s="38">
        <f t="shared" si="61"/>
        <v>-0.20199999999999818</v>
      </c>
      <c r="AS42" s="38">
        <f t="shared" si="62"/>
        <v>-0.11700000000000443</v>
      </c>
      <c r="AT42" s="38">
        <f t="shared" si="72"/>
        <v>-3.9999999999906777E-3</v>
      </c>
      <c r="AU42" s="38">
        <f t="shared" si="6"/>
        <v>0.42600000000000193</v>
      </c>
      <c r="AV42" s="14">
        <f t="shared" si="25"/>
        <v>8.2500000000003126E-3</v>
      </c>
      <c r="AW42" s="22"/>
      <c r="AX42" s="28"/>
      <c r="AY42" s="29">
        <f t="shared" si="49"/>
        <v>-0.11899999999999977</v>
      </c>
      <c r="AZ42" s="29">
        <f t="shared" si="50"/>
        <v>-1.7499999999998295E-2</v>
      </c>
      <c r="BA42" s="29">
        <f t="shared" si="63"/>
        <v>0.19350000000000023</v>
      </c>
      <c r="BB42" s="29">
        <f t="shared" si="64"/>
        <v>-0.38700000000000045</v>
      </c>
      <c r="BC42" s="29">
        <f t="shared" si="65"/>
        <v>0.19799999999999329</v>
      </c>
      <c r="BD42" s="29">
        <f t="shared" si="66"/>
        <v>-0.13499999999999801</v>
      </c>
      <c r="BE42" s="29">
        <f t="shared" si="67"/>
        <v>1.9999999999996021E-2</v>
      </c>
      <c r="BF42" s="29">
        <f t="shared" si="68"/>
        <v>0.17000000000000171</v>
      </c>
      <c r="BG42" s="29">
        <f t="shared" si="69"/>
        <v>9.4999999999998863E-2</v>
      </c>
      <c r="BH42" s="28">
        <f t="shared" si="70"/>
        <v>-2.3555555555555923E-2</v>
      </c>
    </row>
    <row r="43" spans="1:60" x14ac:dyDescent="0.25">
      <c r="A43" s="3">
        <v>152</v>
      </c>
      <c r="B43" s="27">
        <v>2322364.1239999998</v>
      </c>
      <c r="C43" s="27">
        <v>6025789.0789999999</v>
      </c>
      <c r="D43" s="27">
        <v>83.775999999999996</v>
      </c>
      <c r="E43" s="90" t="s">
        <v>55</v>
      </c>
      <c r="F43" s="54">
        <v>2011</v>
      </c>
      <c r="G43" s="27">
        <v>84.683999999999997</v>
      </c>
      <c r="H43" s="54">
        <v>2012</v>
      </c>
      <c r="I43" s="27">
        <v>84.671000000000006</v>
      </c>
      <c r="J43" s="54">
        <v>2023</v>
      </c>
      <c r="K43" s="149"/>
      <c r="L43" s="44">
        <v>84.683999999999997</v>
      </c>
      <c r="M43" s="27">
        <v>84.671000000000006</v>
      </c>
      <c r="N43" s="27">
        <v>84.611999999999995</v>
      </c>
      <c r="O43" s="27">
        <v>84.653999999999996</v>
      </c>
      <c r="P43" s="27">
        <v>84.51</v>
      </c>
      <c r="Q43" s="27">
        <v>84.656000000000006</v>
      </c>
      <c r="R43" s="27">
        <v>84.543999999999997</v>
      </c>
      <c r="S43" s="27">
        <v>84.361999999999995</v>
      </c>
      <c r="T43" s="27">
        <v>84.082999999999998</v>
      </c>
      <c r="U43" s="27">
        <v>84.072999999999993</v>
      </c>
      <c r="V43" s="27">
        <v>84.046000000000006</v>
      </c>
      <c r="W43" s="27">
        <v>84.069000000000003</v>
      </c>
      <c r="X43" s="27">
        <v>84.04</v>
      </c>
      <c r="Y43" s="27">
        <v>83.878</v>
      </c>
      <c r="Z43" s="27">
        <v>83.983000000000004</v>
      </c>
      <c r="AA43" s="27">
        <v>84.033000000000001</v>
      </c>
      <c r="AB43" s="34">
        <v>84.028999999999996</v>
      </c>
      <c r="AC43" s="34">
        <v>83.802000000000007</v>
      </c>
      <c r="AD43" s="34">
        <v>83.772999999999996</v>
      </c>
      <c r="AE43" s="60">
        <v>83.674000000000007</v>
      </c>
      <c r="AF43" s="60">
        <v>83.620999999999995</v>
      </c>
      <c r="AG43" s="60">
        <v>83.558999999999997</v>
      </c>
      <c r="AH43" s="60">
        <v>83.593999999999994</v>
      </c>
      <c r="AI43" s="60">
        <f t="shared" si="71"/>
        <v>83.775999999999996</v>
      </c>
      <c r="AJ43" s="44">
        <f t="shared" ref="AJ43:AJ52" si="73">N43-L43</f>
        <v>-7.2000000000002728E-2</v>
      </c>
      <c r="AK43" s="27">
        <f t="shared" ref="AK43:AK52" si="74">P43-N43</f>
        <v>-0.10199999999998965</v>
      </c>
      <c r="AL43" s="29">
        <f t="shared" si="44"/>
        <v>3.3999999999991815E-2</v>
      </c>
      <c r="AM43" s="29">
        <f t="shared" si="45"/>
        <v>-0.46099999999999852</v>
      </c>
      <c r="AN43" s="29">
        <f t="shared" si="46"/>
        <v>-3.6999999999991928E-2</v>
      </c>
      <c r="AO43" s="29">
        <f t="shared" si="58"/>
        <v>-6.0000000000002274E-3</v>
      </c>
      <c r="AP43" s="29">
        <f t="shared" si="59"/>
        <v>-5.700000000000216E-2</v>
      </c>
      <c r="AQ43" s="29">
        <f t="shared" si="60"/>
        <v>4.5999999999992269E-2</v>
      </c>
      <c r="AR43" s="38">
        <f t="shared" si="61"/>
        <v>-0.22699999999998965</v>
      </c>
      <c r="AS43" s="38">
        <f t="shared" si="62"/>
        <v>-0.12800000000000011</v>
      </c>
      <c r="AT43" s="38">
        <f t="shared" si="72"/>
        <v>-0.11500000000000909</v>
      </c>
      <c r="AU43" s="38">
        <f t="shared" si="6"/>
        <v>0.21699999999999875</v>
      </c>
      <c r="AV43" s="14">
        <f t="shared" si="25"/>
        <v>-7.5666666666666771E-2</v>
      </c>
      <c r="AW43" s="22">
        <f t="shared" ref="AW43:AW52" si="75">O43-M43</f>
        <v>-1.7000000000010118E-2</v>
      </c>
      <c r="AX43" s="29">
        <f t="shared" ref="AX43:AX52" si="76">Q43-O43</f>
        <v>2.0000000000095497E-3</v>
      </c>
      <c r="AY43" s="29">
        <f t="shared" si="49"/>
        <v>-0.29400000000001114</v>
      </c>
      <c r="AZ43" s="29">
        <f t="shared" si="50"/>
        <v>-0.28900000000000148</v>
      </c>
      <c r="BA43" s="29">
        <f t="shared" si="63"/>
        <v>-3.9999999999906777E-3</v>
      </c>
      <c r="BB43" s="29">
        <f t="shared" si="64"/>
        <v>-0.1910000000000025</v>
      </c>
      <c r="BC43" s="29">
        <f t="shared" si="65"/>
        <v>0.15500000000000114</v>
      </c>
      <c r="BD43" s="29">
        <f t="shared" si="66"/>
        <v>-0.13000000000000256</v>
      </c>
      <c r="BE43" s="29">
        <f t="shared" si="67"/>
        <v>-0.15200000000000102</v>
      </c>
      <c r="BF43" s="29">
        <f t="shared" si="68"/>
        <v>-2.7000000000001023E-2</v>
      </c>
      <c r="BG43" s="29">
        <f t="shared" si="69"/>
        <v>-8.9500000000001023E-2</v>
      </c>
      <c r="BH43" s="29">
        <f t="shared" si="70"/>
        <v>-9.7909090909092042E-2</v>
      </c>
    </row>
    <row r="44" spans="1:60" x14ac:dyDescent="0.25">
      <c r="A44" s="3">
        <v>153</v>
      </c>
      <c r="B44" s="27">
        <v>2183877.307</v>
      </c>
      <c r="C44" s="27">
        <v>6142113.608</v>
      </c>
      <c r="D44" s="27">
        <v>153.399</v>
      </c>
      <c r="E44" s="90" t="s">
        <v>56</v>
      </c>
      <c r="F44" s="54">
        <v>2011</v>
      </c>
      <c r="G44" s="27">
        <v>154.68600000000001</v>
      </c>
      <c r="H44" s="54">
        <v>2012</v>
      </c>
      <c r="I44" s="27">
        <v>154.66999999999999</v>
      </c>
      <c r="J44" s="54">
        <v>2023</v>
      </c>
      <c r="K44" s="149"/>
      <c r="L44" s="44">
        <v>154.68600000000001</v>
      </c>
      <c r="M44" s="27">
        <v>154.66999999999999</v>
      </c>
      <c r="N44" s="27">
        <v>154.69999999999999</v>
      </c>
      <c r="O44" s="27">
        <v>154.62899999999999</v>
      </c>
      <c r="P44" s="27">
        <v>154.55000000000001</v>
      </c>
      <c r="Q44" s="27">
        <v>154.458</v>
      </c>
      <c r="R44" s="27">
        <v>154.46700000000001</v>
      </c>
      <c r="S44" s="27">
        <v>154.31800000000001</v>
      </c>
      <c r="T44" s="27">
        <v>154.23699999999999</v>
      </c>
      <c r="U44" s="27">
        <v>154.24</v>
      </c>
      <c r="V44" s="27">
        <v>154.10499999999999</v>
      </c>
      <c r="W44" s="27">
        <v>154.09800000000001</v>
      </c>
      <c r="X44" s="27">
        <v>154.1</v>
      </c>
      <c r="Y44" s="27">
        <v>154.15899999999999</v>
      </c>
      <c r="Z44" s="27">
        <v>154.03899999999999</v>
      </c>
      <c r="AA44" s="27">
        <v>154.03700000000001</v>
      </c>
      <c r="AB44" s="34">
        <v>153.934</v>
      </c>
      <c r="AC44" s="34">
        <v>153.86099999999999</v>
      </c>
      <c r="AD44" s="34">
        <v>153.82900000000001</v>
      </c>
      <c r="AE44" s="60">
        <v>153.71600000000001</v>
      </c>
      <c r="AF44" s="60">
        <v>153.66800000000001</v>
      </c>
      <c r="AG44" s="60">
        <v>153.458</v>
      </c>
      <c r="AH44" s="60">
        <v>153.453</v>
      </c>
      <c r="AI44" s="60">
        <f t="shared" si="71"/>
        <v>153.399</v>
      </c>
      <c r="AJ44" s="44">
        <f t="shared" si="73"/>
        <v>1.3999999999981583E-2</v>
      </c>
      <c r="AK44" s="27">
        <f t="shared" si="74"/>
        <v>-0.14999999999997726</v>
      </c>
      <c r="AL44" s="29">
        <f t="shared" si="44"/>
        <v>-8.2999999999998408E-2</v>
      </c>
      <c r="AM44" s="29">
        <f t="shared" si="45"/>
        <v>-0.23000000000001819</v>
      </c>
      <c r="AN44" s="29">
        <f t="shared" si="46"/>
        <v>-0.132000000000005</v>
      </c>
      <c r="AO44" s="29">
        <f t="shared" si="58"/>
        <v>-4.9999999999954525E-3</v>
      </c>
      <c r="AP44" s="29">
        <f t="shared" si="59"/>
        <v>-6.1000000000007049E-2</v>
      </c>
      <c r="AQ44" s="29">
        <f t="shared" si="60"/>
        <v>-0.10499999999998977</v>
      </c>
      <c r="AR44" s="38">
        <f t="shared" si="61"/>
        <v>-7.3000000000007503E-2</v>
      </c>
      <c r="AS44" s="38">
        <f t="shared" si="62"/>
        <v>-0.14499999999998181</v>
      </c>
      <c r="AT44" s="38">
        <f t="shared" si="72"/>
        <v>-0.25800000000000978</v>
      </c>
      <c r="AU44" s="38">
        <f t="shared" si="6"/>
        <v>-5.8999999999997499E-2</v>
      </c>
      <c r="AV44" s="14">
        <f t="shared" si="25"/>
        <v>-0.10725000000000051</v>
      </c>
      <c r="AW44" s="22">
        <f t="shared" si="75"/>
        <v>-4.0999999999996817E-2</v>
      </c>
      <c r="AX44" s="29">
        <f t="shared" si="76"/>
        <v>-0.17099999999999227</v>
      </c>
      <c r="AY44" s="29">
        <f t="shared" si="49"/>
        <v>-0.13999999999998636</v>
      </c>
      <c r="AZ44" s="29">
        <f t="shared" si="50"/>
        <v>-7.8000000000002956E-2</v>
      </c>
      <c r="BA44" s="29">
        <f t="shared" si="63"/>
        <v>-0.14199999999999591</v>
      </c>
      <c r="BB44" s="29">
        <f t="shared" si="64"/>
        <v>6.0999999999978627E-2</v>
      </c>
      <c r="BC44" s="29">
        <f t="shared" si="65"/>
        <v>-0.12199999999998568</v>
      </c>
      <c r="BD44" s="29">
        <f t="shared" si="66"/>
        <v>-0.1039999999999992</v>
      </c>
      <c r="BE44" s="29">
        <f t="shared" si="67"/>
        <v>-0.16100000000000136</v>
      </c>
      <c r="BF44" s="29">
        <f t="shared" si="68"/>
        <v>-0.21500000000000341</v>
      </c>
      <c r="BG44" s="29">
        <f t="shared" si="69"/>
        <v>-0.18800000000000239</v>
      </c>
      <c r="BH44" s="29">
        <f t="shared" si="70"/>
        <v>-0.11063636363636223</v>
      </c>
    </row>
    <row r="45" spans="1:60" x14ac:dyDescent="0.25">
      <c r="A45" s="3">
        <v>154</v>
      </c>
      <c r="B45" s="27">
        <v>2149040.1460000002</v>
      </c>
      <c r="C45" s="27">
        <v>6261382.6449999996</v>
      </c>
      <c r="D45" s="27">
        <v>229.405</v>
      </c>
      <c r="E45" s="90" t="s">
        <v>57</v>
      </c>
      <c r="F45" s="54">
        <v>2011</v>
      </c>
      <c r="G45" s="27">
        <v>229.93899999999999</v>
      </c>
      <c r="H45" s="54">
        <v>2012</v>
      </c>
      <c r="I45" s="27">
        <v>229.84200000000001</v>
      </c>
      <c r="J45" s="54">
        <v>2023</v>
      </c>
      <c r="K45" s="149"/>
      <c r="L45" s="44">
        <v>229.93899999999999</v>
      </c>
      <c r="M45" s="27">
        <v>229.84200000000001</v>
      </c>
      <c r="N45" s="27">
        <v>229.90100000000001</v>
      </c>
      <c r="O45" s="27">
        <v>229.84200000000001</v>
      </c>
      <c r="P45" s="27">
        <v>229.78</v>
      </c>
      <c r="Q45" s="27">
        <v>229.77099999999999</v>
      </c>
      <c r="R45" s="27">
        <v>229.90299999999999</v>
      </c>
      <c r="S45" s="27">
        <v>229.61</v>
      </c>
      <c r="T45" s="27">
        <v>229.76400000000001</v>
      </c>
      <c r="U45" s="27">
        <v>229.58799999999999</v>
      </c>
      <c r="V45" s="27">
        <v>229.625</v>
      </c>
      <c r="W45" s="27">
        <v>229.60300000000001</v>
      </c>
      <c r="X45" s="27">
        <v>229.61</v>
      </c>
      <c r="Y45" s="27">
        <v>229.73699999999999</v>
      </c>
      <c r="Z45" s="27">
        <v>229.65199999999999</v>
      </c>
      <c r="AA45" s="27">
        <v>229.67400000000001</v>
      </c>
      <c r="AB45" s="34">
        <v>229.54</v>
      </c>
      <c r="AC45" s="34">
        <v>229.61</v>
      </c>
      <c r="AD45" s="34">
        <v>229.749</v>
      </c>
      <c r="AE45" s="60">
        <v>229.489</v>
      </c>
      <c r="AF45" s="60">
        <v>229.58600000000001</v>
      </c>
      <c r="AG45" s="60">
        <v>229.39</v>
      </c>
      <c r="AH45" s="60">
        <v>229.33500000000001</v>
      </c>
      <c r="AI45" s="60">
        <f t="shared" si="71"/>
        <v>229.405</v>
      </c>
      <c r="AJ45" s="44">
        <f t="shared" si="73"/>
        <v>-3.7999999999982492E-2</v>
      </c>
      <c r="AK45" s="27">
        <f t="shared" si="74"/>
        <v>-0.12100000000000932</v>
      </c>
      <c r="AL45" s="29">
        <f t="shared" si="44"/>
        <v>0.12299999999999045</v>
      </c>
      <c r="AM45" s="29">
        <f t="shared" si="45"/>
        <v>-0.13899999999998158</v>
      </c>
      <c r="AN45" s="29">
        <f t="shared" si="46"/>
        <v>-0.13900000000001</v>
      </c>
      <c r="AO45" s="29">
        <f t="shared" si="58"/>
        <v>-1.4999999999986358E-2</v>
      </c>
      <c r="AP45" s="29">
        <f t="shared" si="59"/>
        <v>4.199999999997317E-2</v>
      </c>
      <c r="AQ45" s="29">
        <f t="shared" si="60"/>
        <v>-0.11199999999999477</v>
      </c>
      <c r="AR45" s="38">
        <f t="shared" si="61"/>
        <v>7.00000000000216E-2</v>
      </c>
      <c r="AS45" s="38">
        <f t="shared" si="62"/>
        <v>-0.12100000000000932</v>
      </c>
      <c r="AT45" s="38">
        <f t="shared" si="72"/>
        <v>-9.9000000000017963E-2</v>
      </c>
      <c r="AU45" s="38">
        <f t="shared" si="6"/>
        <v>1.5000000000014779E-2</v>
      </c>
      <c r="AV45" s="14">
        <f t="shared" si="25"/>
        <v>-4.4499999999999318E-2</v>
      </c>
      <c r="AW45" s="22">
        <f t="shared" si="75"/>
        <v>0</v>
      </c>
      <c r="AX45" s="29">
        <f t="shared" si="76"/>
        <v>-7.1000000000026375E-2</v>
      </c>
      <c r="AY45" s="29">
        <f t="shared" si="49"/>
        <v>-0.16099999999997294</v>
      </c>
      <c r="AZ45" s="29">
        <f t="shared" si="50"/>
        <v>-2.2000000000019782E-2</v>
      </c>
      <c r="BA45" s="29">
        <f t="shared" si="63"/>
        <v>1.5000000000014779E-2</v>
      </c>
      <c r="BB45" s="29">
        <f t="shared" si="64"/>
        <v>0.13399999999998613</v>
      </c>
      <c r="BC45" s="29">
        <f t="shared" si="65"/>
        <v>-6.2999999999988177E-2</v>
      </c>
      <c r="BD45" s="29">
        <f t="shared" si="66"/>
        <v>3.7499999999994316E-2</v>
      </c>
      <c r="BE45" s="29">
        <f t="shared" si="67"/>
        <v>-0.16299999999998249</v>
      </c>
      <c r="BF45" s="29">
        <f t="shared" si="68"/>
        <v>-0.25100000000000477</v>
      </c>
      <c r="BG45" s="29">
        <f t="shared" si="69"/>
        <v>-0.20699999999999363</v>
      </c>
      <c r="BH45" s="29">
        <f t="shared" si="70"/>
        <v>-4.6090909090909543E-2</v>
      </c>
    </row>
    <row r="46" spans="1:60" x14ac:dyDescent="0.25">
      <c r="A46" s="3">
        <v>155</v>
      </c>
      <c r="B46" s="27">
        <v>2319104.4449999998</v>
      </c>
      <c r="C46" s="27">
        <v>6078482.3669999996</v>
      </c>
      <c r="D46" s="27">
        <v>108.289</v>
      </c>
      <c r="E46" s="90" t="s">
        <v>58</v>
      </c>
      <c r="F46" s="54">
        <v>2011</v>
      </c>
      <c r="G46" s="27">
        <v>110.751</v>
      </c>
      <c r="H46" s="54">
        <v>2012</v>
      </c>
      <c r="I46" s="27">
        <v>110.697</v>
      </c>
      <c r="J46" s="54">
        <v>2023</v>
      </c>
      <c r="K46" s="149"/>
      <c r="L46" s="44">
        <v>110.751</v>
      </c>
      <c r="M46" s="27">
        <v>110.697</v>
      </c>
      <c r="N46" s="27">
        <v>110.488</v>
      </c>
      <c r="O46" s="27">
        <v>110.51</v>
      </c>
      <c r="P46" s="27">
        <v>110.42</v>
      </c>
      <c r="Q46" s="27">
        <v>110.24</v>
      </c>
      <c r="R46" s="27">
        <v>110.169</v>
      </c>
      <c r="S46" s="27">
        <v>109.723</v>
      </c>
      <c r="T46" s="27">
        <v>109.60899999999999</v>
      </c>
      <c r="U46" s="27">
        <v>109.55500000000001</v>
      </c>
      <c r="V46" s="27">
        <v>109.363</v>
      </c>
      <c r="W46" s="27">
        <v>109.41800000000001</v>
      </c>
      <c r="X46" s="27">
        <v>109.39</v>
      </c>
      <c r="Y46" s="27">
        <v>109.10299999999999</v>
      </c>
      <c r="Z46" s="27">
        <v>109.19499999999999</v>
      </c>
      <c r="AA46" s="27">
        <v>109.182</v>
      </c>
      <c r="AB46" s="34">
        <v>109.083</v>
      </c>
      <c r="AC46" s="34">
        <v>108.83199999999999</v>
      </c>
      <c r="AD46" s="34">
        <v>108.633</v>
      </c>
      <c r="AE46" s="60">
        <v>108.547</v>
      </c>
      <c r="AF46" s="60">
        <v>108.33799999999999</v>
      </c>
      <c r="AG46" s="60">
        <v>108.11799999999999</v>
      </c>
      <c r="AH46" s="60">
        <v>108.199</v>
      </c>
      <c r="AI46" s="60">
        <f t="shared" si="71"/>
        <v>108.289</v>
      </c>
      <c r="AJ46" s="44">
        <f t="shared" si="73"/>
        <v>-0.26300000000000523</v>
      </c>
      <c r="AK46" s="27">
        <f t="shared" si="74"/>
        <v>-6.799999999999784E-2</v>
      </c>
      <c r="AL46" s="29">
        <f t="shared" si="44"/>
        <v>-0.25100000000000477</v>
      </c>
      <c r="AM46" s="29">
        <f t="shared" si="45"/>
        <v>-0.56000000000000227</v>
      </c>
      <c r="AN46" s="29">
        <f t="shared" si="46"/>
        <v>-0.24599999999999511</v>
      </c>
      <c r="AO46" s="29">
        <f t="shared" si="58"/>
        <v>2.7000000000001023E-2</v>
      </c>
      <c r="AP46" s="29">
        <f t="shared" si="59"/>
        <v>-0.19500000000000739</v>
      </c>
      <c r="AQ46" s="29">
        <f t="shared" si="60"/>
        <v>-0.11199999999999477</v>
      </c>
      <c r="AR46" s="38">
        <f t="shared" si="61"/>
        <v>-0.25100000000000477</v>
      </c>
      <c r="AS46" s="38">
        <f t="shared" si="62"/>
        <v>-0.28499999999999659</v>
      </c>
      <c r="AT46" s="38">
        <f t="shared" si="72"/>
        <v>-0.42900000000000205</v>
      </c>
      <c r="AU46" s="38">
        <f t="shared" si="6"/>
        <v>0.17100000000000648</v>
      </c>
      <c r="AV46" s="14">
        <f t="shared" si="25"/>
        <v>-0.20516666666666694</v>
      </c>
      <c r="AW46" s="22">
        <f t="shared" si="75"/>
        <v>-0.18699999999999761</v>
      </c>
      <c r="AX46" s="29">
        <f t="shared" si="76"/>
        <v>-0.27000000000001023</v>
      </c>
      <c r="AY46" s="29">
        <f t="shared" si="49"/>
        <v>-0.51699999999999591</v>
      </c>
      <c r="AZ46" s="29">
        <f t="shared" si="50"/>
        <v>-0.16799999999999216</v>
      </c>
      <c r="BA46" s="29">
        <f t="shared" si="63"/>
        <v>-0.13700000000000045</v>
      </c>
      <c r="BB46" s="29">
        <f t="shared" si="64"/>
        <v>-0.31500000000001194</v>
      </c>
      <c r="BC46" s="29">
        <f t="shared" si="65"/>
        <v>7.9000000000007731E-2</v>
      </c>
      <c r="BD46" s="29">
        <f t="shared" si="66"/>
        <v>-0.2745000000000033</v>
      </c>
      <c r="BE46" s="29">
        <f t="shared" si="67"/>
        <v>-0.29500000000000171</v>
      </c>
      <c r="BF46" s="29">
        <f t="shared" si="68"/>
        <v>-0.13899999999999579</v>
      </c>
      <c r="BG46" s="29">
        <f t="shared" si="69"/>
        <v>-0.21699999999999875</v>
      </c>
      <c r="BH46" s="29">
        <f t="shared" si="70"/>
        <v>-0.22709090909090951</v>
      </c>
    </row>
    <row r="47" spans="1:60" x14ac:dyDescent="0.25">
      <c r="A47" s="3">
        <v>156</v>
      </c>
      <c r="B47" s="27">
        <v>2292291.9720000001</v>
      </c>
      <c r="C47" s="27">
        <v>6098548.7050000001</v>
      </c>
      <c r="D47" s="27">
        <v>110.105</v>
      </c>
      <c r="E47" s="90" t="s">
        <v>59</v>
      </c>
      <c r="F47" s="54">
        <v>2011</v>
      </c>
      <c r="G47" s="27">
        <v>113.563</v>
      </c>
      <c r="H47" s="54">
        <v>2012</v>
      </c>
      <c r="I47" s="27">
        <v>113.199</v>
      </c>
      <c r="J47" s="54">
        <v>2023</v>
      </c>
      <c r="K47" s="149"/>
      <c r="L47" s="44">
        <v>113.563</v>
      </c>
      <c r="M47" s="27">
        <v>113.199</v>
      </c>
      <c r="N47" s="27">
        <v>113.01300000000001</v>
      </c>
      <c r="O47" s="27">
        <v>112.643</v>
      </c>
      <c r="P47" s="27">
        <v>112.54</v>
      </c>
      <c r="Q47" s="27">
        <v>112.17</v>
      </c>
      <c r="R47" s="27">
        <v>112.129</v>
      </c>
      <c r="S47" s="27">
        <v>111.652</v>
      </c>
      <c r="T47" s="27">
        <v>111.482</v>
      </c>
      <c r="U47" s="27">
        <v>111.29600000000001</v>
      </c>
      <c r="V47" s="27">
        <v>111.19199999999999</v>
      </c>
      <c r="W47" s="27">
        <v>111.196</v>
      </c>
      <c r="X47" s="27">
        <v>111.2</v>
      </c>
      <c r="Y47" s="27">
        <v>110.81699999999999</v>
      </c>
      <c r="Z47" s="27">
        <v>110.884</v>
      </c>
      <c r="AA47" s="27">
        <v>110.878</v>
      </c>
      <c r="AB47" s="34">
        <v>110.81699999999999</v>
      </c>
      <c r="AC47" s="34">
        <v>110.532</v>
      </c>
      <c r="AD47" s="34">
        <v>110.351</v>
      </c>
      <c r="AE47" s="60">
        <v>110.3</v>
      </c>
      <c r="AF47" s="60">
        <v>110.017</v>
      </c>
      <c r="AG47" s="60">
        <v>109.947</v>
      </c>
      <c r="AH47" s="60">
        <v>110.059</v>
      </c>
      <c r="AI47" s="60">
        <f t="shared" si="71"/>
        <v>110.105</v>
      </c>
      <c r="AJ47" s="44">
        <f t="shared" si="73"/>
        <v>-0.54999999999999716</v>
      </c>
      <c r="AK47" s="27">
        <f t="shared" si="74"/>
        <v>-0.47299999999999898</v>
      </c>
      <c r="AL47" s="29">
        <f t="shared" si="44"/>
        <v>-0.41100000000000136</v>
      </c>
      <c r="AM47" s="29">
        <f t="shared" si="45"/>
        <v>-0.64700000000000557</v>
      </c>
      <c r="AN47" s="29">
        <f t="shared" si="46"/>
        <v>-0.29000000000000625</v>
      </c>
      <c r="AO47" s="29">
        <f t="shared" si="58"/>
        <v>8.0000000000097771E-3</v>
      </c>
      <c r="AP47" s="29">
        <f t="shared" si="59"/>
        <v>-0.3160000000000025</v>
      </c>
      <c r="AQ47" s="29">
        <f t="shared" si="60"/>
        <v>-6.7000000000007276E-2</v>
      </c>
      <c r="AR47" s="38">
        <f t="shared" si="61"/>
        <v>-0.28499999999999659</v>
      </c>
      <c r="AS47" s="38">
        <f t="shared" si="62"/>
        <v>-0.23199999999999932</v>
      </c>
      <c r="AT47" s="38">
        <f t="shared" si="72"/>
        <v>-0.35299999999999443</v>
      </c>
      <c r="AU47" s="38">
        <f t="shared" si="6"/>
        <v>0.15800000000000125</v>
      </c>
      <c r="AV47" s="14">
        <f t="shared" si="25"/>
        <v>-0.28816666666666652</v>
      </c>
      <c r="AW47" s="22">
        <f t="shared" si="75"/>
        <v>-0.55599999999999739</v>
      </c>
      <c r="AX47" s="29">
        <f t="shared" si="76"/>
        <v>-0.47299999999999898</v>
      </c>
      <c r="AY47" s="29">
        <f t="shared" si="49"/>
        <v>-0.51800000000000068</v>
      </c>
      <c r="AZ47" s="29">
        <f t="shared" si="50"/>
        <v>-0.35599999999999454</v>
      </c>
      <c r="BA47" s="29">
        <f t="shared" si="63"/>
        <v>-0.10000000000000853</v>
      </c>
      <c r="BB47" s="29">
        <f t="shared" si="64"/>
        <v>-0.37900000000000489</v>
      </c>
      <c r="BC47" s="29">
        <f t="shared" si="65"/>
        <v>6.1000000000007049E-2</v>
      </c>
      <c r="BD47" s="29">
        <f t="shared" si="66"/>
        <v>-0.26350000000000051</v>
      </c>
      <c r="BE47" s="29">
        <f t="shared" si="67"/>
        <v>-0.33400000000000318</v>
      </c>
      <c r="BF47" s="29">
        <f t="shared" si="68"/>
        <v>4.2000000000001592E-2</v>
      </c>
      <c r="BG47" s="29">
        <f t="shared" si="69"/>
        <v>-0.1460000000000008</v>
      </c>
      <c r="BH47" s="29">
        <f t="shared" si="70"/>
        <v>-0.28545454545454552</v>
      </c>
    </row>
    <row r="48" spans="1:60" x14ac:dyDescent="0.25">
      <c r="A48" s="3">
        <v>157</v>
      </c>
      <c r="B48" s="27">
        <v>2263167.608</v>
      </c>
      <c r="C48" s="27">
        <v>6102759.1529999999</v>
      </c>
      <c r="D48" s="27">
        <v>112.58199999999999</v>
      </c>
      <c r="E48" s="90" t="s">
        <v>60</v>
      </c>
      <c r="F48" s="54">
        <v>2011</v>
      </c>
      <c r="G48" s="27">
        <v>114.879</v>
      </c>
      <c r="H48" s="54">
        <v>2012</v>
      </c>
      <c r="I48" s="27">
        <v>114.828</v>
      </c>
      <c r="J48" s="54">
        <v>2023</v>
      </c>
      <c r="K48" s="149"/>
      <c r="L48" s="44">
        <v>114.879</v>
      </c>
      <c r="M48" s="27">
        <v>114.828</v>
      </c>
      <c r="N48" s="27">
        <v>114.71299999999999</v>
      </c>
      <c r="O48" s="27">
        <v>114.584</v>
      </c>
      <c r="P48" s="27">
        <v>114.5</v>
      </c>
      <c r="Q48" s="27">
        <v>114.37</v>
      </c>
      <c r="R48" s="27">
        <v>114.316</v>
      </c>
      <c r="S48" s="27">
        <v>114.10899999999999</v>
      </c>
      <c r="T48" s="27">
        <v>113.947</v>
      </c>
      <c r="U48" s="27">
        <v>113.92400000000001</v>
      </c>
      <c r="V48" s="27">
        <v>113.741</v>
      </c>
      <c r="W48" s="27">
        <v>113.62</v>
      </c>
      <c r="X48" s="27">
        <v>113.61</v>
      </c>
      <c r="Y48" s="27">
        <v>113.447</v>
      </c>
      <c r="Z48" s="27">
        <v>113.41800000000001</v>
      </c>
      <c r="AA48" s="27">
        <v>113.33</v>
      </c>
      <c r="AB48" s="34">
        <v>113.268</v>
      </c>
      <c r="AC48" s="34">
        <v>113.07599999999999</v>
      </c>
      <c r="AD48" s="34">
        <v>112.91800000000001</v>
      </c>
      <c r="AE48" s="60">
        <v>112.824</v>
      </c>
      <c r="AF48" s="60">
        <v>112.666</v>
      </c>
      <c r="AG48" s="60">
        <v>112.54</v>
      </c>
      <c r="AH48" s="60">
        <v>112.48</v>
      </c>
      <c r="AI48" s="60">
        <f t="shared" si="71"/>
        <v>112.58199999999999</v>
      </c>
      <c r="AJ48" s="44">
        <f t="shared" si="73"/>
        <v>-0.16600000000001103</v>
      </c>
      <c r="AK48" s="27">
        <f t="shared" si="74"/>
        <v>-0.21299999999999386</v>
      </c>
      <c r="AL48" s="29">
        <f t="shared" si="44"/>
        <v>-0.1839999999999975</v>
      </c>
      <c r="AM48" s="29">
        <f t="shared" si="45"/>
        <v>-0.36899999999999977</v>
      </c>
      <c r="AN48" s="29">
        <f t="shared" si="46"/>
        <v>-0.20600000000000307</v>
      </c>
      <c r="AO48" s="29">
        <f t="shared" si="58"/>
        <v>-0.13100000000000023</v>
      </c>
      <c r="AP48" s="29">
        <f t="shared" si="59"/>
        <v>-0.19199999999999307</v>
      </c>
      <c r="AQ48" s="29">
        <f t="shared" si="60"/>
        <v>-0.15000000000000568</v>
      </c>
      <c r="AR48" s="38">
        <f t="shared" si="61"/>
        <v>-0.19200000000000728</v>
      </c>
      <c r="AS48" s="38">
        <f t="shared" si="62"/>
        <v>-0.25199999999999534</v>
      </c>
      <c r="AT48" s="38">
        <f t="shared" si="72"/>
        <v>-0.28399999999999181</v>
      </c>
      <c r="AU48" s="38">
        <f t="shared" si="6"/>
        <v>4.1999999999987381E-2</v>
      </c>
      <c r="AV48" s="14">
        <f t="shared" si="25"/>
        <v>-0.1914166666666676</v>
      </c>
      <c r="AW48" s="22">
        <f t="shared" si="75"/>
        <v>-0.24399999999999977</v>
      </c>
      <c r="AX48" s="29">
        <f t="shared" si="76"/>
        <v>-0.21399999999999864</v>
      </c>
      <c r="AY48" s="29">
        <f t="shared" si="49"/>
        <v>-0.26100000000000989</v>
      </c>
      <c r="AZ48" s="29">
        <f t="shared" si="50"/>
        <v>-0.18499999999998806</v>
      </c>
      <c r="BA48" s="29">
        <f t="shared" si="63"/>
        <v>-0.30400000000000205</v>
      </c>
      <c r="BB48" s="29">
        <f t="shared" si="64"/>
        <v>-0.17300000000000182</v>
      </c>
      <c r="BC48" s="29">
        <f t="shared" si="65"/>
        <v>-0.11700000000000443</v>
      </c>
      <c r="BD48" s="29">
        <f t="shared" si="66"/>
        <v>-0.20599999999999596</v>
      </c>
      <c r="BE48" s="29">
        <f t="shared" si="67"/>
        <v>-0.25200000000000955</v>
      </c>
      <c r="BF48" s="29">
        <f t="shared" si="68"/>
        <v>-0.18599999999999284</v>
      </c>
      <c r="BG48" s="29">
        <f t="shared" si="69"/>
        <v>-0.21900000000000119</v>
      </c>
      <c r="BH48" s="29">
        <f t="shared" si="70"/>
        <v>-0.21345454545454537</v>
      </c>
    </row>
    <row r="49" spans="1:60" x14ac:dyDescent="0.25">
      <c r="A49" s="3">
        <v>158</v>
      </c>
      <c r="B49" s="27">
        <v>2198310.2080000001</v>
      </c>
      <c r="C49" s="27">
        <v>6154768.9440000001</v>
      </c>
      <c r="D49" s="27">
        <v>148.53800000000001</v>
      </c>
      <c r="E49" s="90" t="s">
        <v>61</v>
      </c>
      <c r="F49" s="54">
        <v>2011</v>
      </c>
      <c r="G49" s="27">
        <v>150.68299999999999</v>
      </c>
      <c r="H49" s="54">
        <v>2012</v>
      </c>
      <c r="I49" s="27">
        <v>150.602</v>
      </c>
      <c r="J49" s="54">
        <v>2023</v>
      </c>
      <c r="K49" s="149"/>
      <c r="L49" s="44">
        <v>150.68299999999999</v>
      </c>
      <c r="M49" s="27">
        <v>150.602</v>
      </c>
      <c r="N49" s="27">
        <v>150.661</v>
      </c>
      <c r="O49" s="27">
        <v>150.547</v>
      </c>
      <c r="P49" s="27">
        <v>150.44999999999999</v>
      </c>
      <c r="Q49" s="27">
        <v>150.30000000000001</v>
      </c>
      <c r="R49" s="27">
        <v>150.279</v>
      </c>
      <c r="S49" s="27">
        <v>150.023</v>
      </c>
      <c r="T49" s="27">
        <v>149.964</v>
      </c>
      <c r="U49" s="27">
        <v>149.94399999999999</v>
      </c>
      <c r="V49" s="27">
        <v>149.732</v>
      </c>
      <c r="W49" s="27">
        <v>149.602</v>
      </c>
      <c r="X49" s="27">
        <v>149.65</v>
      </c>
      <c r="Y49" s="27">
        <v>149.63</v>
      </c>
      <c r="Z49" s="27">
        <v>149.499</v>
      </c>
      <c r="AA49" s="27">
        <v>149.43299999999999</v>
      </c>
      <c r="AB49" s="34">
        <v>149.32300000000001</v>
      </c>
      <c r="AC49" s="34">
        <v>149.18600000000001</v>
      </c>
      <c r="AD49" s="34">
        <v>149.13300000000001</v>
      </c>
      <c r="AE49" s="60">
        <v>148.96199999999999</v>
      </c>
      <c r="AF49" s="60">
        <v>148.90799999999999</v>
      </c>
      <c r="AG49" s="60">
        <v>148.649</v>
      </c>
      <c r="AH49" s="60">
        <v>148.59</v>
      </c>
      <c r="AI49" s="60">
        <f t="shared" si="71"/>
        <v>148.53800000000001</v>
      </c>
      <c r="AJ49" s="44">
        <f t="shared" si="73"/>
        <v>-2.199999999999136E-2</v>
      </c>
      <c r="AK49" s="27">
        <f t="shared" si="74"/>
        <v>-0.21100000000001273</v>
      </c>
      <c r="AL49" s="29">
        <f t="shared" si="44"/>
        <v>-0.17099999999999227</v>
      </c>
      <c r="AM49" s="29">
        <f t="shared" si="45"/>
        <v>-0.31499999999999773</v>
      </c>
      <c r="AN49" s="29">
        <f t="shared" si="46"/>
        <v>-0.23199999999999932</v>
      </c>
      <c r="AO49" s="29">
        <f t="shared" si="58"/>
        <v>-8.1999999999993634E-2</v>
      </c>
      <c r="AP49" s="29">
        <f t="shared" si="59"/>
        <v>-0.15100000000001046</v>
      </c>
      <c r="AQ49" s="29">
        <f t="shared" si="60"/>
        <v>-0.17599999999998772</v>
      </c>
      <c r="AR49" s="38">
        <f t="shared" si="61"/>
        <v>-0.13700000000000045</v>
      </c>
      <c r="AS49" s="38">
        <f t="shared" si="62"/>
        <v>-0.22400000000001796</v>
      </c>
      <c r="AT49" s="38">
        <f t="shared" si="72"/>
        <v>-0.31299999999998818</v>
      </c>
      <c r="AU49" s="38">
        <f t="shared" si="6"/>
        <v>-0.11099999999999</v>
      </c>
      <c r="AV49" s="14">
        <f t="shared" si="25"/>
        <v>-0.17874999999999849</v>
      </c>
      <c r="AW49" s="22">
        <f t="shared" si="75"/>
        <v>-5.5000000000006821E-2</v>
      </c>
      <c r="AX49" s="29">
        <f t="shared" si="76"/>
        <v>-0.24699999999998568</v>
      </c>
      <c r="AY49" s="29">
        <f t="shared" si="49"/>
        <v>-0.27700000000001523</v>
      </c>
      <c r="AZ49" s="29">
        <f t="shared" si="50"/>
        <v>-7.9000000000007731E-2</v>
      </c>
      <c r="BA49" s="29">
        <f t="shared" si="63"/>
        <v>-0.34199999999998454</v>
      </c>
      <c r="BB49" s="29">
        <f t="shared" si="64"/>
        <v>2.7999999999991587E-2</v>
      </c>
      <c r="BC49" s="29">
        <f t="shared" si="65"/>
        <v>-0.19700000000000273</v>
      </c>
      <c r="BD49" s="29">
        <f t="shared" si="66"/>
        <v>-0.14999999999999147</v>
      </c>
      <c r="BE49" s="29">
        <f t="shared" si="67"/>
        <v>-0.22500000000002274</v>
      </c>
      <c r="BF49" s="29">
        <f t="shared" si="68"/>
        <v>-0.31799999999998363</v>
      </c>
      <c r="BG49" s="29">
        <f t="shared" si="69"/>
        <v>-0.27150000000000318</v>
      </c>
      <c r="BH49" s="29">
        <f t="shared" si="70"/>
        <v>-0.18290909090909094</v>
      </c>
    </row>
    <row r="50" spans="1:60" x14ac:dyDescent="0.25">
      <c r="A50" s="3">
        <v>159</v>
      </c>
      <c r="B50" s="27">
        <v>2186287.7519999999</v>
      </c>
      <c r="C50" s="27">
        <v>6159874.9330000002</v>
      </c>
      <c r="D50" s="27">
        <v>150.113</v>
      </c>
      <c r="E50" s="90" t="s">
        <v>62</v>
      </c>
      <c r="F50" s="54">
        <v>2011</v>
      </c>
      <c r="G50" s="27">
        <v>151.73699999999999</v>
      </c>
      <c r="H50" s="54">
        <v>2012</v>
      </c>
      <c r="I50" s="27">
        <v>151.67400000000001</v>
      </c>
      <c r="J50" s="54">
        <v>2023</v>
      </c>
      <c r="K50" s="149"/>
      <c r="L50" s="44">
        <v>151.73699999999999</v>
      </c>
      <c r="M50" s="27">
        <v>151.67400000000001</v>
      </c>
      <c r="N50" s="27">
        <v>151.74799999999999</v>
      </c>
      <c r="O50" s="27">
        <v>151.63499999999999</v>
      </c>
      <c r="P50" s="27">
        <v>151.57</v>
      </c>
      <c r="Q50" s="27">
        <v>151.44</v>
      </c>
      <c r="R50" s="27">
        <v>151.447</v>
      </c>
      <c r="S50" s="27">
        <v>151.274</v>
      </c>
      <c r="T50" s="27">
        <v>151.17400000000001</v>
      </c>
      <c r="U50" s="27">
        <v>151.184</v>
      </c>
      <c r="V50" s="27">
        <v>150.995</v>
      </c>
      <c r="W50" s="27">
        <v>150.946</v>
      </c>
      <c r="X50" s="27">
        <v>150.99</v>
      </c>
      <c r="Y50" s="27">
        <v>151.005</v>
      </c>
      <c r="Z50" s="27">
        <v>150.88900000000001</v>
      </c>
      <c r="AA50" s="27">
        <v>150.84200000000001</v>
      </c>
      <c r="AB50" s="34">
        <v>150.738</v>
      </c>
      <c r="AC50" s="34">
        <v>150.66999999999999</v>
      </c>
      <c r="AD50" s="34">
        <v>150.602</v>
      </c>
      <c r="AE50" s="60">
        <v>150.46799999999999</v>
      </c>
      <c r="AF50" s="60">
        <v>150.41999999999999</v>
      </c>
      <c r="AG50" s="60">
        <v>150.179</v>
      </c>
      <c r="AH50" s="60">
        <v>150.16399999999999</v>
      </c>
      <c r="AI50" s="60">
        <f t="shared" si="71"/>
        <v>150.113</v>
      </c>
      <c r="AJ50" s="44">
        <f t="shared" si="73"/>
        <v>1.099999999999568E-2</v>
      </c>
      <c r="AK50" s="27">
        <f t="shared" si="74"/>
        <v>-0.17799999999999727</v>
      </c>
      <c r="AL50" s="29">
        <f t="shared" si="44"/>
        <v>-0.12299999999999045</v>
      </c>
      <c r="AM50" s="29">
        <f t="shared" si="45"/>
        <v>-0.27299999999999613</v>
      </c>
      <c r="AN50" s="29">
        <f t="shared" si="46"/>
        <v>-0.17900000000000205</v>
      </c>
      <c r="AO50" s="29">
        <f t="shared" si="58"/>
        <v>-4.9999999999954525E-3</v>
      </c>
      <c r="AP50" s="29">
        <f t="shared" si="59"/>
        <v>-0.10099999999999909</v>
      </c>
      <c r="AQ50" s="29">
        <f t="shared" si="60"/>
        <v>-0.15100000000001046</v>
      </c>
      <c r="AR50" s="38">
        <f t="shared" si="61"/>
        <v>-6.8000000000012051E-2</v>
      </c>
      <c r="AS50" s="38">
        <f t="shared" si="62"/>
        <v>-0.20199999999999818</v>
      </c>
      <c r="AT50" s="38">
        <f t="shared" si="72"/>
        <v>-0.28899999999998727</v>
      </c>
      <c r="AU50" s="38">
        <f t="shared" si="6"/>
        <v>-6.6000000000002501E-2</v>
      </c>
      <c r="AV50" s="14">
        <f t="shared" si="25"/>
        <v>-0.13533333333333294</v>
      </c>
      <c r="AW50" s="22">
        <f t="shared" si="75"/>
        <v>-3.9000000000015689E-2</v>
      </c>
      <c r="AX50" s="29">
        <f t="shared" si="76"/>
        <v>-0.19499999999999318</v>
      </c>
      <c r="AY50" s="29">
        <f t="shared" si="49"/>
        <v>-0.16599999999999682</v>
      </c>
      <c r="AZ50" s="29">
        <f t="shared" si="50"/>
        <v>-9.0000000000003411E-2</v>
      </c>
      <c r="BA50" s="29">
        <f t="shared" si="63"/>
        <v>-0.23799999999999955</v>
      </c>
      <c r="BB50" s="29">
        <f t="shared" si="64"/>
        <v>5.8999999999997499E-2</v>
      </c>
      <c r="BC50" s="29">
        <f t="shared" si="65"/>
        <v>-0.16299999999998249</v>
      </c>
      <c r="BD50" s="29">
        <f t="shared" si="66"/>
        <v>-0.12000000000000455</v>
      </c>
      <c r="BE50" s="29">
        <f t="shared" si="67"/>
        <v>-0.18200000000001637</v>
      </c>
      <c r="BF50" s="29">
        <f t="shared" si="68"/>
        <v>-0.25600000000000023</v>
      </c>
      <c r="BG50" s="29">
        <f t="shared" si="69"/>
        <v>-0.2190000000000083</v>
      </c>
      <c r="BH50" s="29">
        <f t="shared" si="70"/>
        <v>-0.13727272727272902</v>
      </c>
    </row>
    <row r="51" spans="1:60" x14ac:dyDescent="0.25">
      <c r="A51" s="9" t="s">
        <v>63</v>
      </c>
      <c r="B51" s="46">
        <v>2184391.4190000002</v>
      </c>
      <c r="C51" s="46">
        <v>6227465.2599999998</v>
      </c>
      <c r="D51" s="46">
        <f>214.955-1.663</f>
        <v>213.292</v>
      </c>
      <c r="E51" s="90" t="s">
        <v>64</v>
      </c>
      <c r="F51" s="54">
        <v>2011</v>
      </c>
      <c r="G51" s="27">
        <v>214.363</v>
      </c>
      <c r="H51" s="54">
        <v>2012</v>
      </c>
      <c r="I51" s="27">
        <v>214.267</v>
      </c>
      <c r="J51" s="54">
        <v>2023</v>
      </c>
      <c r="K51" s="149"/>
      <c r="L51" s="44">
        <v>214.363</v>
      </c>
      <c r="M51" s="27">
        <v>214.267</v>
      </c>
      <c r="N51" s="27">
        <v>214.31200000000001</v>
      </c>
      <c r="O51" s="27">
        <v>214.24299999999999</v>
      </c>
      <c r="P51" s="27">
        <v>214.13</v>
      </c>
      <c r="Q51" s="27">
        <v>213.99799999999999</v>
      </c>
      <c r="R51" s="30">
        <v>214.02099999999999</v>
      </c>
      <c r="S51" s="27">
        <v>213.84</v>
      </c>
      <c r="T51" s="30">
        <v>213.827</v>
      </c>
      <c r="U51" s="30">
        <v>213.71299999999999</v>
      </c>
      <c r="V51" s="34">
        <f>215.38-1.663</f>
        <v>213.71699999999998</v>
      </c>
      <c r="W51" s="27">
        <f>215.33-1.663</f>
        <v>213.667</v>
      </c>
      <c r="X51" s="27">
        <f>215.34-1.663</f>
        <v>213.67699999999999</v>
      </c>
      <c r="Y51" s="27">
        <f>215.358-1.663</f>
        <v>213.69499999999999</v>
      </c>
      <c r="Z51" s="27">
        <f>215.28-1.663</f>
        <v>213.61699999999999</v>
      </c>
      <c r="AA51" s="27">
        <f>215.3-1.663</f>
        <v>213.637</v>
      </c>
      <c r="AB51" s="34">
        <f>215.212-1.663</f>
        <v>213.54899999999998</v>
      </c>
      <c r="AC51" s="30">
        <v>213.584</v>
      </c>
      <c r="AD51" s="30">
        <v>213.64699999999999</v>
      </c>
      <c r="AE51" s="60">
        <f>215.101-1.663</f>
        <v>213.43799999999999</v>
      </c>
      <c r="AF51" s="60">
        <f>215.163-1.663</f>
        <v>213.5</v>
      </c>
      <c r="AG51" s="60">
        <f>215.048-1.663</f>
        <v>213.38499999999999</v>
      </c>
      <c r="AH51" s="60">
        <v>213.34899999999999</v>
      </c>
      <c r="AI51" s="60">
        <f t="shared" si="71"/>
        <v>213.292</v>
      </c>
      <c r="AJ51" s="44">
        <f t="shared" si="73"/>
        <v>-5.0999999999987722E-2</v>
      </c>
      <c r="AK51" s="27">
        <f t="shared" si="74"/>
        <v>-0.18200000000001637</v>
      </c>
      <c r="AL51" s="29">
        <f t="shared" si="44"/>
        <v>-0.10900000000000887</v>
      </c>
      <c r="AM51" s="29">
        <f t="shared" si="45"/>
        <v>-0.1939999999999884</v>
      </c>
      <c r="AN51" s="29">
        <f t="shared" si="46"/>
        <v>-0.11000000000001364</v>
      </c>
      <c r="AO51" s="29">
        <f t="shared" si="58"/>
        <v>-3.9999999999992042E-2</v>
      </c>
      <c r="AP51" s="29">
        <f t="shared" si="59"/>
        <v>-6.0000000000002274E-2</v>
      </c>
      <c r="AQ51" s="29">
        <f t="shared" si="60"/>
        <v>-6.8000000000012051E-2</v>
      </c>
      <c r="AR51" s="14">
        <f t="shared" si="61"/>
        <v>3.5000000000025011E-2</v>
      </c>
      <c r="AS51" s="38">
        <f t="shared" si="62"/>
        <v>-0.14600000000001501</v>
      </c>
      <c r="AT51" s="38">
        <f t="shared" si="72"/>
        <v>-5.2999999999997272E-2</v>
      </c>
      <c r="AU51" s="38">
        <f t="shared" si="6"/>
        <v>-9.2999999999989313E-2</v>
      </c>
      <c r="AV51" s="14">
        <f t="shared" si="25"/>
        <v>-8.9249999999999829E-2</v>
      </c>
      <c r="AW51" s="22">
        <f t="shared" si="75"/>
        <v>-2.4000000000000909E-2</v>
      </c>
      <c r="AX51" s="29">
        <f t="shared" si="76"/>
        <v>-0.24500000000000455</v>
      </c>
      <c r="AY51" s="29">
        <f t="shared" si="49"/>
        <v>-0.15799999999998704</v>
      </c>
      <c r="AZ51" s="29">
        <f t="shared" si="50"/>
        <v>-0.12700000000000955</v>
      </c>
      <c r="BA51" s="29">
        <f t="shared" si="63"/>
        <v>-4.5999999999992269E-2</v>
      </c>
      <c r="BB51" s="29">
        <f t="shared" si="64"/>
        <v>2.7999999999991587E-2</v>
      </c>
      <c r="BC51" s="29">
        <f t="shared" si="65"/>
        <v>-5.7999999999992724E-2</v>
      </c>
      <c r="BD51" s="29">
        <f t="shared" si="66"/>
        <v>4.9999999999954525E-3</v>
      </c>
      <c r="BE51" s="29">
        <f t="shared" si="67"/>
        <v>-0.14699999999999136</v>
      </c>
      <c r="BF51" s="29">
        <f t="shared" si="68"/>
        <v>-0.15100000000001046</v>
      </c>
      <c r="BG51" s="29">
        <f t="shared" si="69"/>
        <v>-0.14900000000000091</v>
      </c>
      <c r="BH51" s="29">
        <f t="shared" si="70"/>
        <v>-8.3454545454546031E-2</v>
      </c>
    </row>
    <row r="52" spans="1:60" x14ac:dyDescent="0.25">
      <c r="A52" s="3">
        <v>162</v>
      </c>
      <c r="B52" s="27">
        <v>2284179.375</v>
      </c>
      <c r="C52" s="27">
        <v>6121191.4400000004</v>
      </c>
      <c r="D52" s="27">
        <v>118.61199999999999</v>
      </c>
      <c r="E52" s="90" t="s">
        <v>65</v>
      </c>
      <c r="F52" s="54">
        <v>2011</v>
      </c>
      <c r="G52" s="27">
        <v>121.96899999999999</v>
      </c>
      <c r="H52" s="54">
        <v>2012</v>
      </c>
      <c r="I52" s="27">
        <v>121.655</v>
      </c>
      <c r="J52" s="54">
        <v>2023</v>
      </c>
      <c r="K52" s="149"/>
      <c r="L52" s="44">
        <v>121.96899999999999</v>
      </c>
      <c r="M52" s="27">
        <v>121.655</v>
      </c>
      <c r="N52" s="27">
        <v>121.504</v>
      </c>
      <c r="O52" s="27">
        <v>121.001</v>
      </c>
      <c r="P52" s="27">
        <v>120.83</v>
      </c>
      <c r="Q52" s="27">
        <v>120.529</v>
      </c>
      <c r="R52" s="27">
        <v>120.518</v>
      </c>
      <c r="S52" s="27">
        <v>119.934</v>
      </c>
      <c r="T52" s="27">
        <v>119.86499999999999</v>
      </c>
      <c r="U52" s="27">
        <v>119.78100000000001</v>
      </c>
      <c r="V52" s="27">
        <v>119.61</v>
      </c>
      <c r="W52" s="27">
        <v>119.53400000000001</v>
      </c>
      <c r="X52" s="27">
        <v>119.54</v>
      </c>
      <c r="Y52" s="27">
        <v>119.342</v>
      </c>
      <c r="Z52" s="27">
        <v>119.372</v>
      </c>
      <c r="AA52" s="27">
        <v>119.286</v>
      </c>
      <c r="AB52" s="34">
        <v>119.27500000000001</v>
      </c>
      <c r="AC52" s="34">
        <v>119.01300000000001</v>
      </c>
      <c r="AD52" s="34">
        <v>118.82</v>
      </c>
      <c r="AE52" s="60">
        <v>118.822</v>
      </c>
      <c r="AF52" s="60">
        <v>118.623</v>
      </c>
      <c r="AG52" s="60">
        <v>118.477</v>
      </c>
      <c r="AH52" s="60">
        <v>118.556</v>
      </c>
      <c r="AI52" s="60">
        <f t="shared" si="71"/>
        <v>118.61199999999999</v>
      </c>
      <c r="AJ52" s="44">
        <f t="shared" si="73"/>
        <v>-0.4649999999999892</v>
      </c>
      <c r="AK52" s="27">
        <f t="shared" si="74"/>
        <v>-0.67400000000000659</v>
      </c>
      <c r="AL52" s="29">
        <f t="shared" si="44"/>
        <v>-0.31199999999999761</v>
      </c>
      <c r="AM52" s="29">
        <f t="shared" si="45"/>
        <v>-0.6530000000000058</v>
      </c>
      <c r="AN52" s="29">
        <f t="shared" si="46"/>
        <v>-0.25499999999999545</v>
      </c>
      <c r="AO52" s="29">
        <f t="shared" si="58"/>
        <v>-6.9999999999993179E-2</v>
      </c>
      <c r="AP52" s="29">
        <f t="shared" si="59"/>
        <v>-0.16800000000000637</v>
      </c>
      <c r="AQ52" s="29">
        <f t="shared" si="60"/>
        <v>-9.6999999999994202E-2</v>
      </c>
      <c r="AR52" s="38">
        <f t="shared" si="61"/>
        <v>-0.26200000000000045</v>
      </c>
      <c r="AS52" s="38">
        <f t="shared" si="62"/>
        <v>-0.1910000000000025</v>
      </c>
      <c r="AT52" s="38">
        <f t="shared" si="72"/>
        <v>-0.34499999999999886</v>
      </c>
      <c r="AU52" s="38">
        <f t="shared" si="6"/>
        <v>0.13499999999999091</v>
      </c>
      <c r="AV52" s="14">
        <f t="shared" si="25"/>
        <v>-0.27974999999999994</v>
      </c>
      <c r="AW52" s="22">
        <f t="shared" si="75"/>
        <v>-0.65399999999999636</v>
      </c>
      <c r="AX52" s="29">
        <f t="shared" si="76"/>
        <v>-0.47200000000000841</v>
      </c>
      <c r="AY52" s="29">
        <f t="shared" si="49"/>
        <v>-0.59499999999999886</v>
      </c>
      <c r="AZ52" s="29">
        <f t="shared" si="50"/>
        <v>-0.15299999999999159</v>
      </c>
      <c r="BA52" s="29">
        <f t="shared" si="63"/>
        <v>-0.24699999999999989</v>
      </c>
      <c r="BB52" s="29">
        <f t="shared" si="64"/>
        <v>-0.19200000000000728</v>
      </c>
      <c r="BC52" s="29">
        <f t="shared" si="65"/>
        <v>-5.5999999999997385E-2</v>
      </c>
      <c r="BD52" s="29">
        <f t="shared" si="66"/>
        <v>-0.23300000000000409</v>
      </c>
      <c r="BE52" s="29">
        <f t="shared" si="67"/>
        <v>-0.19699999999998852</v>
      </c>
      <c r="BF52" s="29">
        <f t="shared" si="68"/>
        <v>-6.7000000000007276E-2</v>
      </c>
      <c r="BG52" s="29">
        <f t="shared" si="69"/>
        <v>-0.1319999999999979</v>
      </c>
      <c r="BH52" s="29">
        <f t="shared" si="70"/>
        <v>-0.28172727272727305</v>
      </c>
    </row>
    <row r="53" spans="1:60" s="25" customFormat="1" x14ac:dyDescent="0.25">
      <c r="A53" s="3">
        <v>165</v>
      </c>
      <c r="B53" s="27">
        <v>2210796.6630000002</v>
      </c>
      <c r="C53" s="27">
        <v>6330511.4819999998</v>
      </c>
      <c r="D53" s="27">
        <v>372.51299999999998</v>
      </c>
      <c r="E53" s="90" t="s">
        <v>66</v>
      </c>
      <c r="F53" s="54">
        <v>2017</v>
      </c>
      <c r="G53" s="27">
        <v>372.74</v>
      </c>
      <c r="H53" s="54">
        <v>2018</v>
      </c>
      <c r="I53" s="27">
        <v>372.68900000000002</v>
      </c>
      <c r="J53" s="54">
        <v>2023</v>
      </c>
      <c r="K53" s="149"/>
      <c r="L53" s="4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>
        <v>372.74</v>
      </c>
      <c r="Y53" s="27">
        <v>372.68900000000002</v>
      </c>
      <c r="Z53" s="27">
        <v>372.654</v>
      </c>
      <c r="AA53" s="27">
        <v>372.714</v>
      </c>
      <c r="AB53" s="34">
        <v>372.62900000000002</v>
      </c>
      <c r="AC53" s="34">
        <v>372.57600000000002</v>
      </c>
      <c r="AD53" s="34">
        <v>372.65100000000001</v>
      </c>
      <c r="AE53" s="60">
        <v>372.55099999999999</v>
      </c>
      <c r="AF53" s="60">
        <v>372.58499999999998</v>
      </c>
      <c r="AG53" s="60">
        <v>372.42599999999999</v>
      </c>
      <c r="AH53" s="60">
        <v>372.45299999999997</v>
      </c>
      <c r="AI53" s="60">
        <f t="shared" si="71"/>
        <v>372.51299999999998</v>
      </c>
      <c r="AJ53" s="44"/>
      <c r="AK53" s="27"/>
      <c r="AL53" s="29"/>
      <c r="AM53" s="29"/>
      <c r="AN53" s="29"/>
      <c r="AO53" s="29" t="s">
        <v>21</v>
      </c>
      <c r="AP53" s="29">
        <f t="shared" si="59"/>
        <v>-8.6000000000012733E-2</v>
      </c>
      <c r="AQ53" s="29">
        <f t="shared" si="60"/>
        <v>-2.4999999999977263E-2</v>
      </c>
      <c r="AR53" s="38">
        <f t="shared" si="61"/>
        <v>-5.2999999999997272E-2</v>
      </c>
      <c r="AS53" s="38">
        <f t="shared" si="62"/>
        <v>-2.5000000000034106E-2</v>
      </c>
      <c r="AT53" s="38">
        <f t="shared" si="72"/>
        <v>-0.125</v>
      </c>
      <c r="AU53" s="38">
        <f t="shared" si="6"/>
        <v>8.6999999999989086E-2</v>
      </c>
      <c r="AV53" s="108">
        <f t="shared" si="25"/>
        <v>-3.7833333333338715E-2</v>
      </c>
      <c r="AW53" s="22"/>
      <c r="AX53" s="29"/>
      <c r="AY53" s="29"/>
      <c r="AZ53" s="29"/>
      <c r="BA53" s="29"/>
      <c r="BB53" s="29" t="s">
        <v>21</v>
      </c>
      <c r="BC53" s="29">
        <f t="shared" si="65"/>
        <v>2.4999999999977263E-2</v>
      </c>
      <c r="BD53" s="29">
        <f t="shared" si="66"/>
        <v>-3.1499999999994088E-2</v>
      </c>
      <c r="BE53" s="29">
        <f t="shared" si="67"/>
        <v>-6.6000000000030923E-2</v>
      </c>
      <c r="BF53" s="29">
        <f t="shared" si="68"/>
        <v>-0.132000000000005</v>
      </c>
      <c r="BG53" s="29">
        <f t="shared" si="69"/>
        <v>-9.9000000000017963E-2</v>
      </c>
      <c r="BH53" s="28">
        <f t="shared" si="70"/>
        <v>-4.7200000000009366E-2</v>
      </c>
    </row>
    <row r="54" spans="1:60" x14ac:dyDescent="0.25">
      <c r="A54" s="3">
        <v>170</v>
      </c>
      <c r="B54" s="27">
        <v>2335285.3590000002</v>
      </c>
      <c r="C54" s="27">
        <v>6066326.9910000004</v>
      </c>
      <c r="D54" s="27">
        <v>97.340999999999994</v>
      </c>
      <c r="E54" s="90" t="s">
        <v>67</v>
      </c>
      <c r="F54" s="54">
        <v>2013</v>
      </c>
      <c r="G54" s="27">
        <v>98.31</v>
      </c>
      <c r="H54" s="54">
        <v>2014</v>
      </c>
      <c r="I54" s="27">
        <v>98.35</v>
      </c>
      <c r="J54" s="54">
        <v>2023</v>
      </c>
      <c r="K54" s="149"/>
      <c r="L54" s="44"/>
      <c r="M54" s="27"/>
      <c r="N54" s="27"/>
      <c r="O54" s="27"/>
      <c r="P54" s="27">
        <v>98.31</v>
      </c>
      <c r="Q54" s="27">
        <v>98.35</v>
      </c>
      <c r="R54" s="27">
        <v>98.218000000000004</v>
      </c>
      <c r="S54" s="27">
        <v>97.980999999999995</v>
      </c>
      <c r="T54" s="27">
        <v>97.887</v>
      </c>
      <c r="U54" s="27">
        <v>97.936000000000007</v>
      </c>
      <c r="V54" s="27">
        <v>97.820999999999998</v>
      </c>
      <c r="W54" s="27">
        <v>97.933000000000007</v>
      </c>
      <c r="X54" s="27">
        <v>97.9</v>
      </c>
      <c r="Y54" s="27">
        <v>97.701999999999998</v>
      </c>
      <c r="Z54" s="27">
        <v>97.795000000000002</v>
      </c>
      <c r="AA54" s="27">
        <v>97.841999999999999</v>
      </c>
      <c r="AB54" s="34">
        <v>97.808000000000007</v>
      </c>
      <c r="AC54" s="34">
        <v>97.584000000000003</v>
      </c>
      <c r="AD54" s="34">
        <v>97.424000000000007</v>
      </c>
      <c r="AE54" s="60">
        <v>97.39</v>
      </c>
      <c r="AF54" s="60">
        <v>97.32</v>
      </c>
      <c r="AG54" s="60">
        <v>97.093000000000004</v>
      </c>
      <c r="AH54" s="60">
        <v>97.207999999999998</v>
      </c>
      <c r="AI54" s="60">
        <f t="shared" si="71"/>
        <v>97.340999999999994</v>
      </c>
      <c r="AJ54" s="44"/>
      <c r="AK54" s="27"/>
      <c r="AL54" s="29">
        <f>R54-P54</f>
        <v>-9.1999999999998749E-2</v>
      </c>
      <c r="AM54" s="29">
        <f>T54-R54</f>
        <v>-0.33100000000000307</v>
      </c>
      <c r="AN54" s="29">
        <f>V54-T54</f>
        <v>-6.6000000000002501E-2</v>
      </c>
      <c r="AO54" s="29">
        <f>X54-V54</f>
        <v>7.9000000000007731E-2</v>
      </c>
      <c r="AP54" s="29">
        <f t="shared" si="59"/>
        <v>-0.10500000000000398</v>
      </c>
      <c r="AQ54" s="29">
        <f t="shared" si="60"/>
        <v>1.300000000000523E-2</v>
      </c>
      <c r="AR54" s="38">
        <f t="shared" si="61"/>
        <v>-0.22400000000000375</v>
      </c>
      <c r="AS54" s="38">
        <f t="shared" si="62"/>
        <v>-0.19400000000000261</v>
      </c>
      <c r="AT54" s="38">
        <f t="shared" si="72"/>
        <v>-0.29699999999999704</v>
      </c>
      <c r="AU54" s="38">
        <f t="shared" si="6"/>
        <v>0.24799999999999045</v>
      </c>
      <c r="AV54" s="108">
        <f t="shared" si="25"/>
        <v>-9.6900000000000833E-2</v>
      </c>
      <c r="AW54" s="22"/>
      <c r="AX54" s="28"/>
      <c r="AY54" s="29">
        <f>S54-Q54</f>
        <v>-0.36899999999999977</v>
      </c>
      <c r="AZ54" s="29">
        <f>U54-S54</f>
        <v>-4.4999999999987494E-2</v>
      </c>
      <c r="BA54" s="29">
        <f>W54-U54</f>
        <v>-3.0000000000001137E-3</v>
      </c>
      <c r="BB54" s="29">
        <f>Y54-W54</f>
        <v>-0.23100000000000875</v>
      </c>
      <c r="BC54" s="29">
        <f t="shared" si="65"/>
        <v>0.14000000000000057</v>
      </c>
      <c r="BD54" s="29">
        <f t="shared" si="66"/>
        <v>-0.20899999999999608</v>
      </c>
      <c r="BE54" s="29">
        <f t="shared" si="67"/>
        <v>-0.10400000000001342</v>
      </c>
      <c r="BF54" s="29">
        <f t="shared" si="68"/>
        <v>-0.11199999999999477</v>
      </c>
      <c r="BG54" s="29">
        <f t="shared" si="69"/>
        <v>-0.10800000000000409</v>
      </c>
      <c r="BH54" s="28">
        <f t="shared" si="70"/>
        <v>-0.12688888888888844</v>
      </c>
    </row>
    <row r="55" spans="1:60" s="25" customFormat="1" x14ac:dyDescent="0.25">
      <c r="A55" s="9" t="s">
        <v>68</v>
      </c>
      <c r="B55" s="46">
        <v>2203302.852</v>
      </c>
      <c r="C55" s="46">
        <v>6176146.6519999998</v>
      </c>
      <c r="D55" s="46">
        <f>168.993-11.23</f>
        <v>157.76300000000001</v>
      </c>
      <c r="E55" s="90" t="s">
        <v>69</v>
      </c>
      <c r="F55" s="54">
        <v>2017</v>
      </c>
      <c r="G55" s="27">
        <v>159.12</v>
      </c>
      <c r="H55" s="54">
        <v>2017</v>
      </c>
      <c r="I55" s="27">
        <v>159.06299999999999</v>
      </c>
      <c r="J55" s="54">
        <v>2023</v>
      </c>
      <c r="K55" s="149"/>
      <c r="L55" s="4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>
        <v>159.06299999999999</v>
      </c>
      <c r="X55" s="27">
        <v>159.12</v>
      </c>
      <c r="Y55" s="27">
        <v>159.02199999999999</v>
      </c>
      <c r="Z55" s="22">
        <f>170.166-11.23</f>
        <v>158.93600000000001</v>
      </c>
      <c r="AA55" s="22">
        <f>170.12-11.23</f>
        <v>158.89000000000001</v>
      </c>
      <c r="AB55" s="34">
        <f>169.93-11.23</f>
        <v>158.70000000000002</v>
      </c>
      <c r="AC55" s="30">
        <v>158.524</v>
      </c>
      <c r="AD55" s="30">
        <v>158.46900000000002</v>
      </c>
      <c r="AE55" s="60">
        <f>169.568-11.23</f>
        <v>158.33800000000002</v>
      </c>
      <c r="AF55" s="60">
        <f>169.445-11.23</f>
        <v>158.215</v>
      </c>
      <c r="AG55" s="60">
        <f>169.232-11.23</f>
        <v>158.00200000000001</v>
      </c>
      <c r="AH55" s="60">
        <v>157.78800000000001</v>
      </c>
      <c r="AI55" s="60">
        <f t="shared" si="71"/>
        <v>157.76300000000001</v>
      </c>
      <c r="AJ55" s="44"/>
      <c r="AK55" s="27"/>
      <c r="AL55" s="29"/>
      <c r="AM55" s="29"/>
      <c r="AN55" s="29"/>
      <c r="AO55" s="29" t="s">
        <v>21</v>
      </c>
      <c r="AP55" s="29">
        <f t="shared" si="59"/>
        <v>-0.1839999999999975</v>
      </c>
      <c r="AQ55" s="29">
        <f t="shared" si="60"/>
        <v>-0.23599999999999</v>
      </c>
      <c r="AR55" s="14">
        <f t="shared" si="61"/>
        <v>-0.17600000000001614</v>
      </c>
      <c r="AS55" s="38">
        <f t="shared" si="62"/>
        <v>-0.18599999999997863</v>
      </c>
      <c r="AT55" s="38">
        <f t="shared" si="72"/>
        <v>-0.33600000000001273</v>
      </c>
      <c r="AU55" s="38">
        <f t="shared" si="6"/>
        <v>-0.23900000000000432</v>
      </c>
      <c r="AV55" s="108">
        <f t="shared" si="25"/>
        <v>-0.22616666666666654</v>
      </c>
      <c r="AW55" s="22"/>
      <c r="AX55" s="28"/>
      <c r="AY55" s="29"/>
      <c r="AZ55" s="29"/>
      <c r="BA55" s="29"/>
      <c r="BB55" s="29">
        <f>Y55-W55</f>
        <v>-4.0999999999996817E-2</v>
      </c>
      <c r="BC55" s="29">
        <f t="shared" si="65"/>
        <v>-0.13199999999997658</v>
      </c>
      <c r="BD55" s="29">
        <f t="shared" si="66"/>
        <v>-0.21049999999999613</v>
      </c>
      <c r="BE55" s="29">
        <f t="shared" si="67"/>
        <v>-0.2540000000000191</v>
      </c>
      <c r="BF55" s="29">
        <f t="shared" si="68"/>
        <v>-0.4269999999999925</v>
      </c>
      <c r="BG55" s="29">
        <f t="shared" si="69"/>
        <v>-0.3405000000000058</v>
      </c>
      <c r="BH55" s="28">
        <f t="shared" si="70"/>
        <v>-0.21249999999999622</v>
      </c>
    </row>
    <row r="56" spans="1:60" s="25" customFormat="1" x14ac:dyDescent="0.25">
      <c r="A56" s="3">
        <v>202</v>
      </c>
      <c r="B56" s="27">
        <v>2178457.8859999999</v>
      </c>
      <c r="C56" s="27">
        <v>6331654.9950000001</v>
      </c>
      <c r="D56" s="27">
        <v>323.995</v>
      </c>
      <c r="E56" s="90" t="s">
        <v>48</v>
      </c>
      <c r="F56" s="54">
        <v>2017</v>
      </c>
      <c r="G56" s="27">
        <v>324</v>
      </c>
      <c r="H56" s="54">
        <v>2018</v>
      </c>
      <c r="I56" s="27">
        <v>324.01900000000001</v>
      </c>
      <c r="J56" s="54">
        <v>2023</v>
      </c>
      <c r="K56" s="149"/>
      <c r="L56" s="4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>
        <v>324</v>
      </c>
      <c r="Y56" s="27">
        <v>324.01900000000001</v>
      </c>
      <c r="Z56" s="27">
        <v>323.95800000000003</v>
      </c>
      <c r="AA56" s="27">
        <v>324.03100000000001</v>
      </c>
      <c r="AB56" s="34">
        <v>323.94900000000001</v>
      </c>
      <c r="AC56" s="34">
        <v>324.01100000000002</v>
      </c>
      <c r="AD56" s="34">
        <v>324.09100000000001</v>
      </c>
      <c r="AE56" s="60">
        <v>323.97199999999998</v>
      </c>
      <c r="AF56" s="60">
        <v>324.125</v>
      </c>
      <c r="AG56" s="60">
        <v>323.964</v>
      </c>
      <c r="AH56" s="60">
        <v>323.87299999999999</v>
      </c>
      <c r="AI56" s="60">
        <f t="shared" si="71"/>
        <v>323.995</v>
      </c>
      <c r="AJ56" s="44"/>
      <c r="AK56" s="27"/>
      <c r="AL56" s="29"/>
      <c r="AM56" s="29"/>
      <c r="AN56" s="29"/>
      <c r="AO56" s="29" t="s">
        <v>21</v>
      </c>
      <c r="AP56" s="29">
        <f t="shared" si="59"/>
        <v>-4.199999999997317E-2</v>
      </c>
      <c r="AQ56" s="29">
        <f t="shared" si="60"/>
        <v>-9.0000000000145519E-3</v>
      </c>
      <c r="AR56" s="38">
        <f t="shared" si="61"/>
        <v>6.2000000000011823E-2</v>
      </c>
      <c r="AS56" s="38">
        <f t="shared" si="62"/>
        <v>-3.900000000004411E-2</v>
      </c>
      <c r="AT56" s="38">
        <f t="shared" si="72"/>
        <v>-7.9999999999813554E-3</v>
      </c>
      <c r="AU56" s="38">
        <f t="shared" si="6"/>
        <v>3.1000000000005912E-2</v>
      </c>
      <c r="AV56" s="108">
        <f t="shared" si="25"/>
        <v>-8.3333333333257542E-4</v>
      </c>
      <c r="AW56" s="22"/>
      <c r="AX56" s="28"/>
      <c r="AY56" s="29"/>
      <c r="AZ56" s="29"/>
      <c r="BA56" s="29"/>
      <c r="BB56" s="29" t="s">
        <v>21</v>
      </c>
      <c r="BC56" s="29">
        <f t="shared" si="65"/>
        <v>1.2000000000000455E-2</v>
      </c>
      <c r="BD56" s="29">
        <f t="shared" si="66"/>
        <v>3.0000000000001137E-2</v>
      </c>
      <c r="BE56" s="29">
        <f t="shared" si="67"/>
        <v>3.3999999999991815E-2</v>
      </c>
      <c r="BF56" s="29">
        <f t="shared" si="68"/>
        <v>-0.25200000000000955</v>
      </c>
      <c r="BG56" s="29">
        <f t="shared" si="69"/>
        <v>-0.10900000000000887</v>
      </c>
      <c r="BH56" s="28">
        <f t="shared" si="70"/>
        <v>-2.9200000000003001E-2</v>
      </c>
    </row>
    <row r="57" spans="1:60" x14ac:dyDescent="0.25">
      <c r="A57" s="3" t="s">
        <v>70</v>
      </c>
      <c r="B57" s="27">
        <v>2224869.0610000002</v>
      </c>
      <c r="C57" s="27">
        <v>6157684.9139999999</v>
      </c>
      <c r="D57" s="27">
        <v>143.91900000000001</v>
      </c>
      <c r="E57" s="90" t="s">
        <v>71</v>
      </c>
      <c r="F57" s="54">
        <v>2012</v>
      </c>
      <c r="G57" s="27">
        <v>147.33600000000001</v>
      </c>
      <c r="H57" s="54">
        <v>2012</v>
      </c>
      <c r="I57" s="27">
        <v>147.34100000000001</v>
      </c>
      <c r="J57" s="54">
        <v>2023</v>
      </c>
      <c r="K57" s="149"/>
      <c r="L57" s="44"/>
      <c r="M57" s="27">
        <v>147.34100000000001</v>
      </c>
      <c r="N57" s="27">
        <v>147.33600000000001</v>
      </c>
      <c r="O57" s="27">
        <v>147.184</v>
      </c>
      <c r="P57" s="27">
        <v>146.96700000000001</v>
      </c>
      <c r="Q57" s="27">
        <v>146.685</v>
      </c>
      <c r="R57" s="27">
        <v>146.64500000000001</v>
      </c>
      <c r="S57" s="27">
        <v>146.285</v>
      </c>
      <c r="T57" s="27">
        <v>146.179</v>
      </c>
      <c r="U57" s="27">
        <v>145.917</v>
      </c>
      <c r="V57" s="27">
        <v>145.63900000000001</v>
      </c>
      <c r="W57" s="27">
        <v>145.392</v>
      </c>
      <c r="X57" s="27">
        <v>145.34</v>
      </c>
      <c r="Y57" s="27">
        <v>145.19</v>
      </c>
      <c r="Z57" s="27">
        <v>145.06800000000001</v>
      </c>
      <c r="AA57" s="27">
        <v>144.89699999999999</v>
      </c>
      <c r="AB57" s="34">
        <v>144.81299999999999</v>
      </c>
      <c r="AC57" s="34">
        <v>144.61199999999999</v>
      </c>
      <c r="AD57" s="34">
        <v>144.464</v>
      </c>
      <c r="AE57" s="60">
        <v>144.34700000000001</v>
      </c>
      <c r="AF57" s="60">
        <v>144.21100000000001</v>
      </c>
      <c r="AG57" s="60">
        <v>144.06200000000001</v>
      </c>
      <c r="AH57" s="60">
        <v>143.916</v>
      </c>
      <c r="AI57" s="60">
        <f t="shared" si="71"/>
        <v>143.91900000000001</v>
      </c>
      <c r="AJ57" s="15"/>
      <c r="AK57" s="27">
        <f t="shared" ref="AK57:AK74" si="77">P57-N57</f>
        <v>-0.36899999999999977</v>
      </c>
      <c r="AL57" s="29">
        <f t="shared" ref="AL57:AL75" si="78">R57-P57</f>
        <v>-0.32200000000000273</v>
      </c>
      <c r="AM57" s="29">
        <f t="shared" ref="AM57:AM75" si="79">T57-R57</f>
        <v>-0.46600000000000819</v>
      </c>
      <c r="AN57" s="29">
        <f t="shared" ref="AN57:AN75" si="80">V57-T57</f>
        <v>-0.53999999999999204</v>
      </c>
      <c r="AO57" s="29">
        <f t="shared" ref="AO57:AO77" si="81">X57-V57</f>
        <v>-0.29900000000000659</v>
      </c>
      <c r="AP57" s="29">
        <f t="shared" si="59"/>
        <v>-0.27199999999999136</v>
      </c>
      <c r="AQ57" s="29">
        <f t="shared" si="60"/>
        <v>-0.25500000000002387</v>
      </c>
      <c r="AR57" s="38">
        <f t="shared" si="61"/>
        <v>-0.20099999999999341</v>
      </c>
      <c r="AS57" s="38">
        <f t="shared" si="62"/>
        <v>-0.26499999999998636</v>
      </c>
      <c r="AT57" s="38">
        <f t="shared" si="72"/>
        <v>-0.28499999999999659</v>
      </c>
      <c r="AU57" s="38">
        <f t="shared" si="6"/>
        <v>-0.14300000000000068</v>
      </c>
      <c r="AV57" s="108">
        <f t="shared" si="25"/>
        <v>-0.31063636363636377</v>
      </c>
      <c r="AW57" s="22">
        <f t="shared" ref="AW57:AW74" si="82">O57-M57</f>
        <v>-0.15700000000001069</v>
      </c>
      <c r="AX57" s="29">
        <f t="shared" ref="AX57:AX74" si="83">Q57-O57</f>
        <v>-0.49899999999999523</v>
      </c>
      <c r="AY57" s="29">
        <f t="shared" ref="AY57:AY75" si="84">S57-Q57</f>
        <v>-0.40000000000000568</v>
      </c>
      <c r="AZ57" s="29">
        <f t="shared" ref="AZ57:AZ75" si="85">U57-S57</f>
        <v>-0.367999999999995</v>
      </c>
      <c r="BA57" s="29">
        <f t="shared" ref="BA57:BA77" si="86">W57-U57</f>
        <v>-0.52500000000000568</v>
      </c>
      <c r="BB57" s="29">
        <f t="shared" ref="BB57:BB75" si="87">Y57-W57</f>
        <v>-0.20199999999999818</v>
      </c>
      <c r="BC57" s="29">
        <f t="shared" si="65"/>
        <v>-0.29300000000000637</v>
      </c>
      <c r="BD57" s="29">
        <f t="shared" si="66"/>
        <v>-0.21649999999999636</v>
      </c>
      <c r="BE57" s="29">
        <f t="shared" si="67"/>
        <v>-0.2529999999999859</v>
      </c>
      <c r="BF57" s="29">
        <f t="shared" si="68"/>
        <v>-0.29500000000001592</v>
      </c>
      <c r="BG57" s="29">
        <f t="shared" si="69"/>
        <v>-0.27400000000000091</v>
      </c>
      <c r="BH57" s="29">
        <f t="shared" si="70"/>
        <v>-0.3113636363636374</v>
      </c>
    </row>
    <row r="58" spans="1:60" x14ac:dyDescent="0.25">
      <c r="A58" s="3">
        <v>1009</v>
      </c>
      <c r="B58" s="27">
        <v>2233366.8319999999</v>
      </c>
      <c r="C58" s="27">
        <v>6122386.7359999996</v>
      </c>
      <c r="D58" s="27">
        <v>126.896</v>
      </c>
      <c r="E58" s="90" t="s">
        <v>72</v>
      </c>
      <c r="F58" s="54">
        <v>2012</v>
      </c>
      <c r="G58" s="27">
        <v>129.34100000000001</v>
      </c>
      <c r="H58" s="54">
        <v>2012</v>
      </c>
      <c r="I58" s="27">
        <v>129.36199999999999</v>
      </c>
      <c r="J58" s="54">
        <v>2023</v>
      </c>
      <c r="K58" s="149"/>
      <c r="L58" s="44"/>
      <c r="M58" s="27">
        <v>129.36199999999999</v>
      </c>
      <c r="N58" s="27">
        <v>129.34100000000001</v>
      </c>
      <c r="O58" s="27">
        <v>129.16800000000001</v>
      </c>
      <c r="P58" s="27">
        <v>129.04</v>
      </c>
      <c r="Q58" s="27">
        <v>128.79599999999999</v>
      </c>
      <c r="R58" s="27">
        <v>128.77099999999999</v>
      </c>
      <c r="S58" s="27">
        <v>128.34299999999999</v>
      </c>
      <c r="T58" s="27">
        <v>128.22399999999999</v>
      </c>
      <c r="U58" s="27">
        <v>128.14699999999999</v>
      </c>
      <c r="V58" s="27">
        <v>127.974</v>
      </c>
      <c r="W58" s="27">
        <v>127.825</v>
      </c>
      <c r="X58" s="44">
        <v>127.84</v>
      </c>
      <c r="Y58" s="27">
        <v>127.761</v>
      </c>
      <c r="Z58" s="27">
        <v>127.669</v>
      </c>
      <c r="AA58" s="27">
        <v>127.593</v>
      </c>
      <c r="AB58" s="34">
        <v>127.506</v>
      </c>
      <c r="AC58" s="34">
        <v>127.345</v>
      </c>
      <c r="AD58" s="34">
        <v>127.20099999999999</v>
      </c>
      <c r="AE58" s="60">
        <v>127.146</v>
      </c>
      <c r="AF58" s="60">
        <v>127.06</v>
      </c>
      <c r="AG58" s="60">
        <v>126.883</v>
      </c>
      <c r="AH58" s="60">
        <v>126.83799999999999</v>
      </c>
      <c r="AI58" s="60">
        <f t="shared" si="71"/>
        <v>126.896</v>
      </c>
      <c r="AJ58" s="15"/>
      <c r="AK58" s="27">
        <f t="shared" si="77"/>
        <v>-0.30100000000001614</v>
      </c>
      <c r="AL58" s="29">
        <f t="shared" si="78"/>
        <v>-0.26900000000000546</v>
      </c>
      <c r="AM58" s="29">
        <f t="shared" si="79"/>
        <v>-0.54699999999999704</v>
      </c>
      <c r="AN58" s="29">
        <f t="shared" si="80"/>
        <v>-0.24999999999998579</v>
      </c>
      <c r="AO58" s="29">
        <f t="shared" si="81"/>
        <v>-0.13400000000000034</v>
      </c>
      <c r="AP58" s="29">
        <f t="shared" si="59"/>
        <v>-0.17100000000000648</v>
      </c>
      <c r="AQ58" s="29">
        <f t="shared" si="60"/>
        <v>-0.1629999999999967</v>
      </c>
      <c r="AR58" s="38">
        <f t="shared" si="61"/>
        <v>-0.16100000000000136</v>
      </c>
      <c r="AS58" s="38">
        <f t="shared" si="62"/>
        <v>-0.19899999999999807</v>
      </c>
      <c r="AT58" s="38">
        <f t="shared" si="72"/>
        <v>-0.26300000000000523</v>
      </c>
      <c r="AU58" s="38">
        <f t="shared" si="6"/>
        <v>1.300000000000523E-2</v>
      </c>
      <c r="AV58" s="108">
        <f t="shared" si="25"/>
        <v>-0.22227272727272795</v>
      </c>
      <c r="AW58" s="22">
        <f t="shared" si="82"/>
        <v>-0.1939999999999884</v>
      </c>
      <c r="AX58" s="29">
        <f t="shared" si="83"/>
        <v>-0.3720000000000141</v>
      </c>
      <c r="AY58" s="29">
        <f t="shared" si="84"/>
        <v>-0.45300000000000296</v>
      </c>
      <c r="AZ58" s="29">
        <f t="shared" si="85"/>
        <v>-0.19599999999999795</v>
      </c>
      <c r="BA58" s="29">
        <f t="shared" si="86"/>
        <v>-0.32199999999998852</v>
      </c>
      <c r="BB58" s="29">
        <f t="shared" si="87"/>
        <v>-6.4000000000007162E-2</v>
      </c>
      <c r="BC58" s="29">
        <f t="shared" si="65"/>
        <v>-0.16799999999999216</v>
      </c>
      <c r="BD58" s="29">
        <f t="shared" si="66"/>
        <v>-0.19600000000000506</v>
      </c>
      <c r="BE58" s="29">
        <f t="shared" si="67"/>
        <v>-0.14099999999999113</v>
      </c>
      <c r="BF58" s="29">
        <f t="shared" si="68"/>
        <v>-0.22200000000000841</v>
      </c>
      <c r="BG58" s="29">
        <f t="shared" si="69"/>
        <v>-0.18149999999999977</v>
      </c>
      <c r="BH58" s="29">
        <f t="shared" si="70"/>
        <v>-0.22945454545454555</v>
      </c>
    </row>
    <row r="59" spans="1:60" x14ac:dyDescent="0.25">
      <c r="A59" s="9" t="s">
        <v>73</v>
      </c>
      <c r="B59" s="46">
        <v>2241368.2149999999</v>
      </c>
      <c r="C59" s="46">
        <v>6157691.8760000002</v>
      </c>
      <c r="D59" s="53">
        <f>148.953-7.877</f>
        <v>141.07599999999999</v>
      </c>
      <c r="E59" s="92" t="s">
        <v>74</v>
      </c>
      <c r="F59" s="54">
        <v>2012</v>
      </c>
      <c r="G59" s="27">
        <v>146.69900000000001</v>
      </c>
      <c r="H59" s="54">
        <v>2012</v>
      </c>
      <c r="I59" s="27">
        <v>146.97800000000001</v>
      </c>
      <c r="J59" s="54">
        <v>2023</v>
      </c>
      <c r="K59" s="149"/>
      <c r="L59" s="44"/>
      <c r="M59" s="27">
        <v>146.97800000000001</v>
      </c>
      <c r="N59" s="27">
        <v>146.69900000000001</v>
      </c>
      <c r="O59" s="27">
        <v>146.33199999999999</v>
      </c>
      <c r="P59" s="27">
        <v>146.06</v>
      </c>
      <c r="Q59" s="27">
        <v>145.648</v>
      </c>
      <c r="R59" s="30">
        <v>145.47199999999998</v>
      </c>
      <c r="S59" s="27">
        <v>144.94</v>
      </c>
      <c r="T59" s="30">
        <v>144.69399999999999</v>
      </c>
      <c r="U59" s="30">
        <v>144.30799999999999</v>
      </c>
      <c r="V59" s="34">
        <f>151.84-7.877</f>
        <v>143.96299999999999</v>
      </c>
      <c r="W59" s="27">
        <f>151.493-7.877</f>
        <v>143.61599999999999</v>
      </c>
      <c r="X59" s="27">
        <f>151.35-7.877</f>
        <v>143.47299999999998</v>
      </c>
      <c r="Y59" s="27">
        <f>150.974-7.877</f>
        <v>143.09699999999998</v>
      </c>
      <c r="Z59" s="27">
        <f>150.817-7.877</f>
        <v>142.94</v>
      </c>
      <c r="AA59" s="27">
        <f>150.5-7.877</f>
        <v>142.62299999999999</v>
      </c>
      <c r="AB59" s="34">
        <f>150.364-7.877</f>
        <v>142.48699999999999</v>
      </c>
      <c r="AC59" s="34">
        <v>142.11699999999999</v>
      </c>
      <c r="AD59" s="34">
        <v>141.839</v>
      </c>
      <c r="AE59" s="60">
        <f>149.585-7.877</f>
        <v>141.708</v>
      </c>
      <c r="AF59" s="60">
        <f>149.37-7.877</f>
        <v>141.49299999999999</v>
      </c>
      <c r="AG59" s="60">
        <f>149.192-7.877</f>
        <v>141.315</v>
      </c>
      <c r="AH59" s="60">
        <v>141.154</v>
      </c>
      <c r="AI59" s="60">
        <f t="shared" si="71"/>
        <v>141.07599999999999</v>
      </c>
      <c r="AJ59" s="15"/>
      <c r="AK59" s="27">
        <f t="shared" si="77"/>
        <v>-0.63900000000001</v>
      </c>
      <c r="AL59" s="29">
        <f t="shared" si="78"/>
        <v>-0.58800000000002228</v>
      </c>
      <c r="AM59" s="29">
        <f t="shared" si="79"/>
        <v>-0.77799999999999159</v>
      </c>
      <c r="AN59" s="29">
        <f t="shared" si="80"/>
        <v>-0.73099999999999454</v>
      </c>
      <c r="AO59" s="29">
        <f t="shared" si="81"/>
        <v>-0.49000000000000909</v>
      </c>
      <c r="AP59" s="29">
        <f t="shared" si="59"/>
        <v>-0.53299999999998704</v>
      </c>
      <c r="AQ59" s="29">
        <f t="shared" si="60"/>
        <v>-0.45300000000000296</v>
      </c>
      <c r="AR59" s="38">
        <f t="shared" si="61"/>
        <v>-0.37000000000000455</v>
      </c>
      <c r="AS59" s="38">
        <f t="shared" si="62"/>
        <v>-0.40899999999999181</v>
      </c>
      <c r="AT59" s="38">
        <f t="shared" si="72"/>
        <v>-0.39300000000000068</v>
      </c>
      <c r="AU59" s="38">
        <f t="shared" si="6"/>
        <v>-0.23900000000000432</v>
      </c>
      <c r="AV59" s="108">
        <f t="shared" si="25"/>
        <v>-0.51118181818181985</v>
      </c>
      <c r="AW59" s="22">
        <f t="shared" si="82"/>
        <v>-0.64600000000001501</v>
      </c>
      <c r="AX59" s="29">
        <f t="shared" si="83"/>
        <v>-0.6839999999999975</v>
      </c>
      <c r="AY59" s="29">
        <f t="shared" si="84"/>
        <v>-0.70799999999999841</v>
      </c>
      <c r="AZ59" s="29">
        <f t="shared" si="85"/>
        <v>-0.632000000000005</v>
      </c>
      <c r="BA59" s="29">
        <f t="shared" si="86"/>
        <v>-0.69200000000000728</v>
      </c>
      <c r="BB59" s="29">
        <f t="shared" si="87"/>
        <v>-0.51900000000000546</v>
      </c>
      <c r="BC59" s="29">
        <f t="shared" si="65"/>
        <v>-0.47399999999998954</v>
      </c>
      <c r="BD59" s="29">
        <f t="shared" si="66"/>
        <v>-0.39199999999999591</v>
      </c>
      <c r="BE59" s="29">
        <f t="shared" si="67"/>
        <v>-0.34600000000000364</v>
      </c>
      <c r="BF59" s="29">
        <f t="shared" si="68"/>
        <v>-0.33899999999999864</v>
      </c>
      <c r="BG59" s="29">
        <f t="shared" si="69"/>
        <v>-0.34250000000000114</v>
      </c>
      <c r="BH59" s="29">
        <f t="shared" si="70"/>
        <v>-0.52945454545454662</v>
      </c>
    </row>
    <row r="60" spans="1:60" x14ac:dyDescent="0.25">
      <c r="A60" s="9" t="s">
        <v>75</v>
      </c>
      <c r="B60" s="46">
        <v>2248691.807</v>
      </c>
      <c r="C60" s="46">
        <v>6157718.3300000001</v>
      </c>
      <c r="D60" s="46">
        <f>146.711-2.177</f>
        <v>144.53400000000002</v>
      </c>
      <c r="E60" s="90" t="s">
        <v>76</v>
      </c>
      <c r="F60" s="54">
        <v>2012</v>
      </c>
      <c r="G60" s="27">
        <v>150.34200000000001</v>
      </c>
      <c r="H60" s="54">
        <v>2012</v>
      </c>
      <c r="I60" s="27">
        <v>150.52699999999999</v>
      </c>
      <c r="J60" s="54">
        <v>2023</v>
      </c>
      <c r="K60" s="149"/>
      <c r="L60" s="44"/>
      <c r="M60" s="27">
        <v>150.52699999999999</v>
      </c>
      <c r="N60" s="27">
        <v>150.34200000000001</v>
      </c>
      <c r="O60" s="27">
        <v>149.84899999999999</v>
      </c>
      <c r="P60" s="27">
        <v>149.59</v>
      </c>
      <c r="Q60" s="27">
        <v>149.07900000000001</v>
      </c>
      <c r="R60" s="30">
        <v>148.91300000000001</v>
      </c>
      <c r="S60" s="27">
        <v>148.28</v>
      </c>
      <c r="T60" s="30">
        <v>148.04000000000002</v>
      </c>
      <c r="U60" s="30">
        <v>147.69800000000001</v>
      </c>
      <c r="V60" s="34">
        <f>149.545-2.177</f>
        <v>147.36799999999999</v>
      </c>
      <c r="W60" s="27">
        <f>149.229-2.177</f>
        <v>147.05200000000002</v>
      </c>
      <c r="X60" s="27">
        <f>149.15-2.177</f>
        <v>146.97300000000001</v>
      </c>
      <c r="Y60" s="27">
        <f>148.796-2.177</f>
        <v>146.619</v>
      </c>
      <c r="Z60" s="27">
        <f>148.613-2.177</f>
        <v>146.43600000000001</v>
      </c>
      <c r="AA60" s="27">
        <f>148.34-2.177</f>
        <v>146.16300000000001</v>
      </c>
      <c r="AB60" s="34">
        <f>148.248-2.177</f>
        <v>146.071</v>
      </c>
      <c r="AC60" s="30">
        <v>145.71100000000001</v>
      </c>
      <c r="AD60" s="30">
        <v>145.34800000000001</v>
      </c>
      <c r="AE60" s="60">
        <f>147.398-2.177</f>
        <v>145.221</v>
      </c>
      <c r="AF60" s="60">
        <f>147.041-2.177</f>
        <v>144.864</v>
      </c>
      <c r="AG60" s="60">
        <f>146.822-2.177</f>
        <v>144.64500000000001</v>
      </c>
      <c r="AH60" s="60">
        <v>144.52700000000002</v>
      </c>
      <c r="AI60" s="60">
        <f t="shared" si="71"/>
        <v>144.53400000000002</v>
      </c>
      <c r="AJ60" s="15"/>
      <c r="AK60" s="27">
        <f t="shared" si="77"/>
        <v>-0.75200000000000955</v>
      </c>
      <c r="AL60" s="29">
        <f t="shared" si="78"/>
        <v>-0.6769999999999925</v>
      </c>
      <c r="AM60" s="29">
        <f t="shared" si="79"/>
        <v>-0.87299999999999045</v>
      </c>
      <c r="AN60" s="29">
        <f t="shared" si="80"/>
        <v>-0.67200000000002547</v>
      </c>
      <c r="AO60" s="29">
        <f t="shared" si="81"/>
        <v>-0.39499999999998181</v>
      </c>
      <c r="AP60" s="29">
        <f t="shared" si="59"/>
        <v>-0.53700000000000614</v>
      </c>
      <c r="AQ60" s="29">
        <f t="shared" si="60"/>
        <v>-0.36500000000000909</v>
      </c>
      <c r="AR60" s="14">
        <f t="shared" si="61"/>
        <v>-0.35999999999998522</v>
      </c>
      <c r="AS60" s="38">
        <f t="shared" si="62"/>
        <v>-0.49000000000000909</v>
      </c>
      <c r="AT60" s="38">
        <f t="shared" si="72"/>
        <v>-0.57599999999999341</v>
      </c>
      <c r="AU60" s="38">
        <f t="shared" si="6"/>
        <v>-0.11099999999999</v>
      </c>
      <c r="AV60" s="108">
        <f t="shared" si="25"/>
        <v>-0.52799999999999936</v>
      </c>
      <c r="AW60" s="22">
        <f t="shared" si="82"/>
        <v>-0.67799999999999727</v>
      </c>
      <c r="AX60" s="29">
        <f t="shared" si="83"/>
        <v>-0.76999999999998181</v>
      </c>
      <c r="AY60" s="29">
        <f t="shared" si="84"/>
        <v>-0.79900000000000659</v>
      </c>
      <c r="AZ60" s="29">
        <f t="shared" si="85"/>
        <v>-0.58199999999999363</v>
      </c>
      <c r="BA60" s="29">
        <f t="shared" si="86"/>
        <v>-0.64599999999998658</v>
      </c>
      <c r="BB60" s="29">
        <f t="shared" si="87"/>
        <v>-0.43300000000002115</v>
      </c>
      <c r="BC60" s="29">
        <f t="shared" si="65"/>
        <v>-0.45599999999998886</v>
      </c>
      <c r="BD60" s="29">
        <f t="shared" si="66"/>
        <v>-0.40749999999999886</v>
      </c>
      <c r="BE60" s="29">
        <f t="shared" si="67"/>
        <v>-0.48400000000000887</v>
      </c>
      <c r="BF60" s="29">
        <f t="shared" si="68"/>
        <v>-0.33699999999998909</v>
      </c>
      <c r="BG60" s="29">
        <f t="shared" si="69"/>
        <v>-0.41049999999999898</v>
      </c>
      <c r="BH60" s="29">
        <f t="shared" si="70"/>
        <v>-0.54545454545454286</v>
      </c>
    </row>
    <row r="61" spans="1:60" x14ac:dyDescent="0.25">
      <c r="A61" s="9" t="s">
        <v>77</v>
      </c>
      <c r="B61" s="46">
        <v>2265037.767</v>
      </c>
      <c r="C61" s="46">
        <v>6131551.6720000003</v>
      </c>
      <c r="D61" s="46">
        <f>122.897+0.633</f>
        <v>123.53</v>
      </c>
      <c r="E61" s="90" t="s">
        <v>78</v>
      </c>
      <c r="F61" s="54">
        <v>2012</v>
      </c>
      <c r="G61" s="27">
        <v>128.91300000000001</v>
      </c>
      <c r="H61" s="54">
        <v>2012</v>
      </c>
      <c r="I61" s="27">
        <v>129.16399999999999</v>
      </c>
      <c r="J61" s="54">
        <v>2023</v>
      </c>
      <c r="K61" s="149"/>
      <c r="L61" s="44"/>
      <c r="M61" s="27">
        <v>129.16399999999999</v>
      </c>
      <c r="N61" s="27">
        <v>128.91300000000001</v>
      </c>
      <c r="O61" s="27">
        <v>128.45699999999999</v>
      </c>
      <c r="P61" s="27">
        <v>128.07</v>
      </c>
      <c r="Q61" s="27">
        <v>127.67699999999999</v>
      </c>
      <c r="R61" s="30">
        <v>127.48399999999999</v>
      </c>
      <c r="S61" s="27">
        <v>126.79</v>
      </c>
      <c r="T61" s="30">
        <v>126.55799999999999</v>
      </c>
      <c r="U61" s="30">
        <v>126.276</v>
      </c>
      <c r="V61" s="34">
        <f>125.336+0.663</f>
        <v>125.999</v>
      </c>
      <c r="W61" s="27">
        <f>125.153+0.663</f>
        <v>125.816</v>
      </c>
      <c r="X61" s="27">
        <f>124.96+0.663</f>
        <v>125.62299999999999</v>
      </c>
      <c r="Y61" s="27">
        <f>124.727+0.663</f>
        <v>125.39</v>
      </c>
      <c r="Z61" s="27">
        <f>124.682+0.663</f>
        <v>125.345</v>
      </c>
      <c r="AA61" s="27">
        <f>124.57+0.663</f>
        <v>125.23299999999999</v>
      </c>
      <c r="AB61" s="34">
        <f>124.516+0.663</f>
        <v>125.179</v>
      </c>
      <c r="AC61" s="30">
        <v>124.58199999999999</v>
      </c>
      <c r="AD61" s="30">
        <v>124.22499999999999</v>
      </c>
      <c r="AE61" s="60">
        <f>123.509+0.633</f>
        <v>124.142</v>
      </c>
      <c r="AF61" s="60">
        <f>123.1+0.633</f>
        <v>123.73299999999999</v>
      </c>
      <c r="AG61" s="60">
        <f>122.892+0.633</f>
        <v>123.52499999999999</v>
      </c>
      <c r="AH61" s="60">
        <v>123.518</v>
      </c>
      <c r="AI61" s="60">
        <f t="shared" si="71"/>
        <v>123.53</v>
      </c>
      <c r="AJ61" s="15"/>
      <c r="AK61" s="27">
        <f t="shared" si="77"/>
        <v>-0.84300000000001774</v>
      </c>
      <c r="AL61" s="29">
        <f t="shared" si="78"/>
        <v>-0.58599999999999852</v>
      </c>
      <c r="AM61" s="29">
        <f t="shared" si="79"/>
        <v>-0.92600000000000193</v>
      </c>
      <c r="AN61" s="29">
        <f t="shared" si="80"/>
        <v>-0.5589999999999975</v>
      </c>
      <c r="AO61" s="29">
        <f t="shared" si="81"/>
        <v>-0.37600000000000477</v>
      </c>
      <c r="AP61" s="29">
        <f t="shared" si="59"/>
        <v>-0.27799999999999159</v>
      </c>
      <c r="AQ61" s="29">
        <f t="shared" si="60"/>
        <v>-0.16599999999999682</v>
      </c>
      <c r="AR61" s="14">
        <f t="shared" si="61"/>
        <v>-0.59700000000000841</v>
      </c>
      <c r="AS61" s="38">
        <f t="shared" si="62"/>
        <v>-0.43999999999999773</v>
      </c>
      <c r="AT61" s="38">
        <f t="shared" si="72"/>
        <v>-0.61700000000000443</v>
      </c>
      <c r="AU61" s="38">
        <f t="shared" si="6"/>
        <v>5.0000000000096634E-3</v>
      </c>
      <c r="AV61" s="108">
        <f t="shared" si="25"/>
        <v>-0.48936363636363728</v>
      </c>
      <c r="AW61" s="22">
        <f t="shared" si="82"/>
        <v>-0.70699999999999363</v>
      </c>
      <c r="AX61" s="29">
        <f t="shared" si="83"/>
        <v>-0.78000000000000114</v>
      </c>
      <c r="AY61" s="29">
        <f t="shared" si="84"/>
        <v>-0.88699999999998624</v>
      </c>
      <c r="AZ61" s="29">
        <f t="shared" si="85"/>
        <v>-0.51400000000001</v>
      </c>
      <c r="BA61" s="29">
        <f t="shared" si="86"/>
        <v>-0.45999999999999375</v>
      </c>
      <c r="BB61" s="29">
        <f t="shared" si="87"/>
        <v>-0.42600000000000193</v>
      </c>
      <c r="BC61" s="29">
        <f t="shared" si="65"/>
        <v>-0.15700000000001069</v>
      </c>
      <c r="BD61" s="29">
        <f t="shared" si="66"/>
        <v>-0.50399999999999778</v>
      </c>
      <c r="BE61" s="29">
        <f t="shared" si="67"/>
        <v>-0.49200000000000443</v>
      </c>
      <c r="BF61" s="29">
        <f t="shared" si="68"/>
        <v>-0.2149999999999892</v>
      </c>
      <c r="BG61" s="29">
        <f t="shared" si="69"/>
        <v>-0.35349999999999682</v>
      </c>
      <c r="BH61" s="29">
        <f t="shared" si="70"/>
        <v>-0.5132727272727261</v>
      </c>
    </row>
    <row r="62" spans="1:60" x14ac:dyDescent="0.25">
      <c r="A62" s="3">
        <v>1108</v>
      </c>
      <c r="B62" s="27">
        <v>2361311.9049999998</v>
      </c>
      <c r="C62" s="27">
        <v>6086633.8310000002</v>
      </c>
      <c r="D62" s="27">
        <v>123.56699999999999</v>
      </c>
      <c r="E62" s="90" t="s">
        <v>79</v>
      </c>
      <c r="F62" s="54">
        <v>2012</v>
      </c>
      <c r="G62" s="27">
        <v>123.759</v>
      </c>
      <c r="H62" s="54">
        <v>2012</v>
      </c>
      <c r="I62" s="27">
        <v>123.736</v>
      </c>
      <c r="J62" s="54">
        <v>2023</v>
      </c>
      <c r="K62" s="149"/>
      <c r="L62" s="44"/>
      <c r="M62" s="27">
        <v>123.736</v>
      </c>
      <c r="N62" s="27">
        <v>123.759</v>
      </c>
      <c r="O62" s="27">
        <v>123.726</v>
      </c>
      <c r="P62" s="27">
        <v>123.63</v>
      </c>
      <c r="Q62" s="27">
        <v>123.74</v>
      </c>
      <c r="R62" s="27">
        <v>123.747</v>
      </c>
      <c r="S62" s="27">
        <v>123.61199999999999</v>
      </c>
      <c r="T62" s="27">
        <v>123.55200000000001</v>
      </c>
      <c r="U62" s="27">
        <v>123.684</v>
      </c>
      <c r="V62" s="27">
        <v>123.616</v>
      </c>
      <c r="W62" s="27">
        <v>123.72499999999999</v>
      </c>
      <c r="X62" s="44">
        <v>123.59</v>
      </c>
      <c r="Y62" s="27">
        <v>123.447</v>
      </c>
      <c r="Z62" s="27">
        <v>123.56</v>
      </c>
      <c r="AA62" s="27">
        <v>123.581</v>
      </c>
      <c r="AB62" s="34">
        <v>123.637</v>
      </c>
      <c r="AC62" s="34">
        <v>123.501</v>
      </c>
      <c r="AD62" s="34">
        <v>123.298</v>
      </c>
      <c r="AE62" s="60">
        <v>123.41500000000001</v>
      </c>
      <c r="AF62" s="60">
        <v>123.292</v>
      </c>
      <c r="AG62" s="60">
        <v>123.253</v>
      </c>
      <c r="AH62" s="60">
        <v>123.35299999999999</v>
      </c>
      <c r="AI62" s="60">
        <f t="shared" si="71"/>
        <v>123.56699999999999</v>
      </c>
      <c r="AJ62" s="15"/>
      <c r="AK62" s="27">
        <f t="shared" si="77"/>
        <v>-0.12900000000000489</v>
      </c>
      <c r="AL62" s="29">
        <f t="shared" si="78"/>
        <v>0.11700000000000443</v>
      </c>
      <c r="AM62" s="29">
        <f t="shared" si="79"/>
        <v>-0.19499999999999318</v>
      </c>
      <c r="AN62" s="29">
        <f t="shared" si="80"/>
        <v>6.3999999999992951E-2</v>
      </c>
      <c r="AO62" s="29">
        <f t="shared" si="81"/>
        <v>-2.5999999999996248E-2</v>
      </c>
      <c r="AP62" s="29">
        <f t="shared" si="59"/>
        <v>-3.0000000000001137E-2</v>
      </c>
      <c r="AQ62" s="29">
        <f t="shared" si="60"/>
        <v>7.6999999999998181E-2</v>
      </c>
      <c r="AR62" s="38">
        <f t="shared" si="61"/>
        <v>-0.13599999999999568</v>
      </c>
      <c r="AS62" s="38">
        <f t="shared" si="62"/>
        <v>-8.5999999999998522E-2</v>
      </c>
      <c r="AT62" s="38">
        <f t="shared" si="72"/>
        <v>-0.16200000000000614</v>
      </c>
      <c r="AU62" s="38">
        <f t="shared" si="6"/>
        <v>0.31399999999999295</v>
      </c>
      <c r="AV62" s="108">
        <f t="shared" si="25"/>
        <v>-1.7454545454546114E-2</v>
      </c>
      <c r="AW62" s="22">
        <f t="shared" si="82"/>
        <v>-1.0000000000005116E-2</v>
      </c>
      <c r="AX62" s="29">
        <f t="shared" si="83"/>
        <v>1.3999999999995794E-2</v>
      </c>
      <c r="AY62" s="29">
        <f t="shared" si="84"/>
        <v>-0.12800000000000011</v>
      </c>
      <c r="AZ62" s="29">
        <f t="shared" si="85"/>
        <v>7.2000000000002728E-2</v>
      </c>
      <c r="BA62" s="29">
        <f t="shared" si="86"/>
        <v>4.0999999999996817E-2</v>
      </c>
      <c r="BB62" s="29">
        <f t="shared" si="87"/>
        <v>-0.27799999999999159</v>
      </c>
      <c r="BC62" s="29">
        <f t="shared" si="65"/>
        <v>0.13400000000000034</v>
      </c>
      <c r="BD62" s="29">
        <f t="shared" si="66"/>
        <v>-0.14150000000000063</v>
      </c>
      <c r="BE62" s="29">
        <f t="shared" si="67"/>
        <v>-6.0000000000002274E-3</v>
      </c>
      <c r="BF62" s="29">
        <f t="shared" si="68"/>
        <v>6.0999999999992838E-2</v>
      </c>
      <c r="BG62" s="29">
        <f t="shared" si="69"/>
        <v>2.7499999999996305E-2</v>
      </c>
      <c r="BH62" s="29">
        <f t="shared" si="70"/>
        <v>-3.4818181818182706E-2</v>
      </c>
    </row>
    <row r="63" spans="1:60" x14ac:dyDescent="0.25">
      <c r="A63" s="19">
        <v>2062</v>
      </c>
      <c r="B63" s="58">
        <v>2239271.44</v>
      </c>
      <c r="C63" s="59">
        <v>6146221.3859999999</v>
      </c>
      <c r="D63" s="52">
        <v>137.68600000000001</v>
      </c>
      <c r="E63" s="92" t="s">
        <v>80</v>
      </c>
      <c r="F63" s="54">
        <v>2012</v>
      </c>
      <c r="G63" s="27">
        <v>141.29400000000001</v>
      </c>
      <c r="H63" s="54">
        <v>2012</v>
      </c>
      <c r="I63" s="27">
        <v>141.27699999999999</v>
      </c>
      <c r="J63" s="54">
        <v>2023</v>
      </c>
      <c r="K63" s="149"/>
      <c r="L63" s="44"/>
      <c r="M63" s="27">
        <v>141.27699999999999</v>
      </c>
      <c r="N63" s="27">
        <v>141.29400000000001</v>
      </c>
      <c r="O63" s="27">
        <v>141.07400000000001</v>
      </c>
      <c r="P63" s="27">
        <v>140.94999999999999</v>
      </c>
      <c r="Q63" s="27">
        <v>140.65</v>
      </c>
      <c r="R63" s="27">
        <v>140.62899999999999</v>
      </c>
      <c r="S63" s="27">
        <v>140.28899999999999</v>
      </c>
      <c r="T63" s="27">
        <v>140.125</v>
      </c>
      <c r="U63" s="27">
        <v>139.88900000000001</v>
      </c>
      <c r="V63" s="27">
        <v>139.65100000000001</v>
      </c>
      <c r="W63" s="27">
        <v>139.48699999999999</v>
      </c>
      <c r="X63" s="27">
        <v>139.41999999999999</v>
      </c>
      <c r="Y63" s="27">
        <v>139.22499999999999</v>
      </c>
      <c r="Z63" s="45"/>
      <c r="AA63" s="27">
        <v>139.03100000000001</v>
      </c>
      <c r="AB63" s="34">
        <v>138.83099999999999</v>
      </c>
      <c r="AC63" s="34"/>
      <c r="AD63" s="34">
        <v>138.91499999999999</v>
      </c>
      <c r="AE63" s="60">
        <v>138.21899999999999</v>
      </c>
      <c r="AF63" s="60"/>
      <c r="AG63" s="60">
        <v>137.81100000000001</v>
      </c>
      <c r="AH63" s="60">
        <v>137.68</v>
      </c>
      <c r="AI63" s="60">
        <f t="shared" si="71"/>
        <v>137.68600000000001</v>
      </c>
      <c r="AJ63" s="15"/>
      <c r="AK63" s="27">
        <f t="shared" si="77"/>
        <v>-0.34400000000002251</v>
      </c>
      <c r="AL63" s="29">
        <f t="shared" si="78"/>
        <v>-0.32099999999999795</v>
      </c>
      <c r="AM63" s="29">
        <f t="shared" si="79"/>
        <v>-0.50399999999999068</v>
      </c>
      <c r="AN63" s="29">
        <f t="shared" si="80"/>
        <v>-0.47399999999998954</v>
      </c>
      <c r="AO63" s="29">
        <f t="shared" si="81"/>
        <v>-0.23100000000002296</v>
      </c>
      <c r="AP63" s="29"/>
      <c r="AQ63" s="29"/>
      <c r="AR63" s="38"/>
      <c r="AS63" s="38"/>
      <c r="AT63" s="38">
        <f t="shared" si="72"/>
        <v>-0.40799999999998704</v>
      </c>
      <c r="AU63" s="38">
        <f t="shared" si="6"/>
        <v>-0.125</v>
      </c>
      <c r="AV63" s="108">
        <f t="shared" si="25"/>
        <v>-0.32800000000000035</v>
      </c>
      <c r="AW63" s="22">
        <f t="shared" si="82"/>
        <v>-0.20299999999997453</v>
      </c>
      <c r="AX63" s="29">
        <f t="shared" si="83"/>
        <v>-0.42400000000000659</v>
      </c>
      <c r="AY63" s="29">
        <f t="shared" si="84"/>
        <v>-0.36100000000001842</v>
      </c>
      <c r="AZ63" s="29">
        <f t="shared" si="85"/>
        <v>-0.39999999999997726</v>
      </c>
      <c r="BA63" s="29">
        <f t="shared" si="86"/>
        <v>-0.40200000000001523</v>
      </c>
      <c r="BB63" s="29">
        <f t="shared" si="87"/>
        <v>-0.26200000000000045</v>
      </c>
      <c r="BC63" s="29">
        <f t="shared" si="65"/>
        <v>-0.1939999999999884</v>
      </c>
      <c r="BD63" s="29">
        <f t="shared" si="66"/>
        <v>-5.8000000000006935E-2</v>
      </c>
      <c r="BE63" s="29"/>
      <c r="BF63" s="29"/>
      <c r="BG63" s="29">
        <f t="shared" si="69"/>
        <v>-0.61749999999999261</v>
      </c>
      <c r="BH63" s="29">
        <f t="shared" si="70"/>
        <v>-0.32699999999999818</v>
      </c>
    </row>
    <row r="64" spans="1:60" x14ac:dyDescent="0.25">
      <c r="A64" s="3">
        <v>2065</v>
      </c>
      <c r="B64" s="27">
        <v>2322679.398</v>
      </c>
      <c r="C64" s="27">
        <v>6128257.398</v>
      </c>
      <c r="D64" s="27">
        <v>143.041</v>
      </c>
      <c r="E64" s="90" t="s">
        <v>81</v>
      </c>
      <c r="F64" s="54">
        <v>2012</v>
      </c>
      <c r="G64" s="27">
        <v>145.98500000000001</v>
      </c>
      <c r="H64" s="54">
        <v>2012</v>
      </c>
      <c r="I64" s="27">
        <v>145.958</v>
      </c>
      <c r="J64" s="54">
        <v>2023</v>
      </c>
      <c r="K64" s="149"/>
      <c r="L64" s="44"/>
      <c r="M64" s="27">
        <v>145.958</v>
      </c>
      <c r="N64" s="27">
        <v>145.98500000000001</v>
      </c>
      <c r="O64" s="27">
        <v>145.684</v>
      </c>
      <c r="P64" s="27">
        <v>145.55000000000001</v>
      </c>
      <c r="Q64" s="27">
        <v>145.36000000000001</v>
      </c>
      <c r="R64" s="27">
        <v>145.32400000000001</v>
      </c>
      <c r="S64" s="27">
        <v>144.81899999999999</v>
      </c>
      <c r="T64" s="27">
        <v>144.749</v>
      </c>
      <c r="U64" s="27">
        <v>144.72800000000001</v>
      </c>
      <c r="V64" s="27">
        <v>144.58699999999999</v>
      </c>
      <c r="W64" s="27">
        <v>144.50800000000001</v>
      </c>
      <c r="X64" s="27">
        <v>144.43</v>
      </c>
      <c r="Y64" s="27">
        <v>144.16399999999999</v>
      </c>
      <c r="Z64" s="27">
        <v>144.262</v>
      </c>
      <c r="AA64" s="27">
        <v>144.108</v>
      </c>
      <c r="AB64" s="34">
        <v>144.12100000000001</v>
      </c>
      <c r="AC64" s="34">
        <v>143.82400000000001</v>
      </c>
      <c r="AD64" s="34">
        <v>143.512</v>
      </c>
      <c r="AE64" s="60">
        <v>143.47800000000001</v>
      </c>
      <c r="AF64" s="60">
        <v>143.08699999999999</v>
      </c>
      <c r="AG64" s="60">
        <v>142.96299999999999</v>
      </c>
      <c r="AH64" s="60">
        <v>142.99100000000001</v>
      </c>
      <c r="AI64" s="60">
        <f t="shared" si="71"/>
        <v>143.041</v>
      </c>
      <c r="AJ64" s="15"/>
      <c r="AK64" s="27">
        <f t="shared" si="77"/>
        <v>-0.43500000000000227</v>
      </c>
      <c r="AL64" s="29">
        <f t="shared" si="78"/>
        <v>-0.22599999999999909</v>
      </c>
      <c r="AM64" s="29">
        <f t="shared" si="79"/>
        <v>-0.57500000000001705</v>
      </c>
      <c r="AN64" s="29">
        <f t="shared" si="80"/>
        <v>-0.16200000000000614</v>
      </c>
      <c r="AO64" s="29">
        <f t="shared" si="81"/>
        <v>-0.15699999999998226</v>
      </c>
      <c r="AP64" s="29">
        <f t="shared" ref="AP64:AP77" si="88">Z64-X64</f>
        <v>-0.16800000000000637</v>
      </c>
      <c r="AQ64" s="29">
        <f t="shared" ref="AQ64:AQ73" si="89">AB64-Z64</f>
        <v>-0.14099999999999113</v>
      </c>
      <c r="AR64" s="38">
        <f t="shared" ref="AR64:AR73" si="90">AC64-AB64</f>
        <v>-0.29699999999999704</v>
      </c>
      <c r="AS64" s="38">
        <f t="shared" ref="AS64:AS77" si="91">AE64-AC64</f>
        <v>-0.34600000000000364</v>
      </c>
      <c r="AT64" s="38">
        <f t="shared" si="72"/>
        <v>-0.51500000000001478</v>
      </c>
      <c r="AU64" s="38">
        <f t="shared" si="6"/>
        <v>7.8000000000002956E-2</v>
      </c>
      <c r="AV64" s="108">
        <f t="shared" si="25"/>
        <v>-0.26763636363636517</v>
      </c>
      <c r="AW64" s="22">
        <f t="shared" si="82"/>
        <v>-0.27400000000000091</v>
      </c>
      <c r="AX64" s="29">
        <f t="shared" si="83"/>
        <v>-0.32399999999998386</v>
      </c>
      <c r="AY64" s="29">
        <f t="shared" si="84"/>
        <v>-0.54100000000002524</v>
      </c>
      <c r="AZ64" s="29">
        <f t="shared" si="85"/>
        <v>-9.0999999999979764E-2</v>
      </c>
      <c r="BA64" s="29">
        <f t="shared" si="86"/>
        <v>-0.21999999999999886</v>
      </c>
      <c r="BB64" s="29">
        <f t="shared" si="87"/>
        <v>-0.34400000000002251</v>
      </c>
      <c r="BC64" s="29">
        <f t="shared" si="65"/>
        <v>-5.5999999999983174E-2</v>
      </c>
      <c r="BD64" s="29">
        <f t="shared" si="66"/>
        <v>-0.29800000000000182</v>
      </c>
      <c r="BE64" s="29">
        <f t="shared" ref="BE64:BE83" si="92">AF64-AD64</f>
        <v>-0.42500000000001137</v>
      </c>
      <c r="BF64" s="29">
        <f t="shared" si="68"/>
        <v>-9.5999999999975216E-2</v>
      </c>
      <c r="BG64" s="29">
        <f t="shared" si="69"/>
        <v>-0.26049999999999329</v>
      </c>
      <c r="BH64" s="29">
        <f t="shared" ref="BH64:BH83" si="93">(AH64-$I64)/(2023-$H64)</f>
        <v>-0.26972727272727132</v>
      </c>
    </row>
    <row r="65" spans="1:60" x14ac:dyDescent="0.25">
      <c r="A65" s="3">
        <v>2076</v>
      </c>
      <c r="B65" s="27">
        <v>2280427.7050000001</v>
      </c>
      <c r="C65" s="27">
        <v>6163347.8420000002</v>
      </c>
      <c r="D65" s="27">
        <v>176.684</v>
      </c>
      <c r="E65" s="90" t="s">
        <v>82</v>
      </c>
      <c r="F65" s="54">
        <v>2012</v>
      </c>
      <c r="G65" s="27">
        <v>180.803</v>
      </c>
      <c r="H65" s="54">
        <v>2012</v>
      </c>
      <c r="I65" s="27">
        <v>180.846</v>
      </c>
      <c r="J65" s="54">
        <v>2023</v>
      </c>
      <c r="K65" s="149"/>
      <c r="L65" s="44"/>
      <c r="M65" s="27">
        <v>180.846</v>
      </c>
      <c r="N65" s="27">
        <v>180.803</v>
      </c>
      <c r="O65" s="27">
        <v>180.56800000000001</v>
      </c>
      <c r="P65" s="27">
        <v>180.44</v>
      </c>
      <c r="Q65" s="27">
        <v>180.19</v>
      </c>
      <c r="R65" s="27">
        <v>180.08</v>
      </c>
      <c r="S65" s="27">
        <v>179.524</v>
      </c>
      <c r="T65" s="27">
        <v>179.28700000000001</v>
      </c>
      <c r="U65" s="27">
        <v>179.21</v>
      </c>
      <c r="V65" s="27">
        <v>178.88399999999999</v>
      </c>
      <c r="W65" s="27">
        <v>178.70099999999999</v>
      </c>
      <c r="X65" s="27">
        <v>178.59</v>
      </c>
      <c r="Y65" s="27">
        <v>178.39599999999999</v>
      </c>
      <c r="Z65" s="27">
        <v>178.27500000000001</v>
      </c>
      <c r="AA65" s="27">
        <v>178.149</v>
      </c>
      <c r="AB65" s="34">
        <v>178.04400000000001</v>
      </c>
      <c r="AC65" s="34">
        <v>177.75899999999999</v>
      </c>
      <c r="AD65" s="34">
        <v>177.505</v>
      </c>
      <c r="AE65" s="60">
        <v>177.31</v>
      </c>
      <c r="AF65" s="60">
        <v>177.02600000000001</v>
      </c>
      <c r="AG65" s="60">
        <v>176.732</v>
      </c>
      <c r="AH65" s="60">
        <v>176.66300000000001</v>
      </c>
      <c r="AI65" s="60">
        <f t="shared" si="71"/>
        <v>176.684</v>
      </c>
      <c r="AJ65" s="15"/>
      <c r="AK65" s="27">
        <f t="shared" si="77"/>
        <v>-0.36299999999999955</v>
      </c>
      <c r="AL65" s="29">
        <f t="shared" si="78"/>
        <v>-0.35999999999998522</v>
      </c>
      <c r="AM65" s="29">
        <f t="shared" si="79"/>
        <v>-0.79300000000000637</v>
      </c>
      <c r="AN65" s="29">
        <f t="shared" si="80"/>
        <v>-0.40300000000002001</v>
      </c>
      <c r="AO65" s="29">
        <f t="shared" si="81"/>
        <v>-0.29399999999998272</v>
      </c>
      <c r="AP65" s="29">
        <f t="shared" si="88"/>
        <v>-0.31499999999999773</v>
      </c>
      <c r="AQ65" s="29">
        <f t="shared" si="89"/>
        <v>-0.23099999999999454</v>
      </c>
      <c r="AR65" s="38">
        <f t="shared" si="90"/>
        <v>-0.28500000000002501</v>
      </c>
      <c r="AS65" s="38">
        <f t="shared" si="91"/>
        <v>-0.44899999999998386</v>
      </c>
      <c r="AT65" s="38">
        <f t="shared" si="72"/>
        <v>-0.57800000000000296</v>
      </c>
      <c r="AU65" s="38">
        <f t="shared" si="6"/>
        <v>-4.8000000000001819E-2</v>
      </c>
      <c r="AV65" s="108">
        <f t="shared" si="25"/>
        <v>-0.37445454545454543</v>
      </c>
      <c r="AW65" s="22">
        <f t="shared" si="82"/>
        <v>-0.27799999999999159</v>
      </c>
      <c r="AX65" s="29">
        <f t="shared" si="83"/>
        <v>-0.37800000000001432</v>
      </c>
      <c r="AY65" s="29">
        <f t="shared" si="84"/>
        <v>-0.66599999999999682</v>
      </c>
      <c r="AZ65" s="29">
        <f t="shared" si="85"/>
        <v>-0.31399999999999295</v>
      </c>
      <c r="BA65" s="29">
        <f t="shared" si="86"/>
        <v>-0.50900000000001455</v>
      </c>
      <c r="BB65" s="29">
        <f t="shared" si="87"/>
        <v>-0.30500000000000682</v>
      </c>
      <c r="BC65" s="29">
        <f t="shared" si="65"/>
        <v>-0.24699999999998568</v>
      </c>
      <c r="BD65" s="29">
        <f t="shared" si="66"/>
        <v>-0.32200000000000273</v>
      </c>
      <c r="BE65" s="29">
        <f t="shared" si="92"/>
        <v>-0.47899999999998499</v>
      </c>
      <c r="BF65" s="29">
        <f t="shared" si="68"/>
        <v>-0.36299999999999955</v>
      </c>
      <c r="BG65" s="29">
        <f t="shared" si="69"/>
        <v>-0.42099999999999227</v>
      </c>
      <c r="BH65" s="29">
        <f t="shared" si="93"/>
        <v>-0.3802727272727266</v>
      </c>
    </row>
    <row r="66" spans="1:60" x14ac:dyDescent="0.25">
      <c r="A66" s="3">
        <v>2107</v>
      </c>
      <c r="B66" s="27">
        <v>2099695.6740000001</v>
      </c>
      <c r="C66" s="27">
        <v>6220352.6900000004</v>
      </c>
      <c r="D66" s="27">
        <v>174.05699999999999</v>
      </c>
      <c r="E66" s="90" t="s">
        <v>83</v>
      </c>
      <c r="F66" s="54">
        <v>2012</v>
      </c>
      <c r="G66" s="27">
        <v>176.10900000000001</v>
      </c>
      <c r="H66" s="54">
        <v>2012</v>
      </c>
      <c r="I66" s="27">
        <v>176.036</v>
      </c>
      <c r="J66" s="54">
        <v>2023</v>
      </c>
      <c r="K66" s="149"/>
      <c r="L66" s="44"/>
      <c r="M66" s="27">
        <v>176.036</v>
      </c>
      <c r="N66" s="27">
        <v>176.10900000000001</v>
      </c>
      <c r="O66" s="27">
        <v>175.87799999999999</v>
      </c>
      <c r="P66" s="27">
        <v>175.78</v>
      </c>
      <c r="Q66" s="27">
        <v>175.52</v>
      </c>
      <c r="R66" s="27">
        <v>175.584</v>
      </c>
      <c r="S66" s="27">
        <v>175.268</v>
      </c>
      <c r="T66" s="27">
        <v>175.221</v>
      </c>
      <c r="U66" s="27">
        <v>174.86799999999999</v>
      </c>
      <c r="V66" s="27">
        <v>174.88499999999999</v>
      </c>
      <c r="W66" s="27">
        <v>174.84800000000001</v>
      </c>
      <c r="X66" s="27">
        <v>174.89</v>
      </c>
      <c r="Y66" s="27">
        <v>174.87</v>
      </c>
      <c r="Z66" s="27">
        <v>174.84899999999999</v>
      </c>
      <c r="AA66" s="27">
        <v>174.78700000000001</v>
      </c>
      <c r="AB66" s="34">
        <v>174.631</v>
      </c>
      <c r="AC66" s="34">
        <v>174.518</v>
      </c>
      <c r="AD66" s="34">
        <v>174.523</v>
      </c>
      <c r="AE66" s="60">
        <v>174.34700000000001</v>
      </c>
      <c r="AF66" s="60">
        <v>174.18199999999999</v>
      </c>
      <c r="AG66" s="60">
        <v>173.999</v>
      </c>
      <c r="AH66" s="60">
        <v>173.98</v>
      </c>
      <c r="AI66" s="60">
        <f t="shared" si="71"/>
        <v>174.05699999999999</v>
      </c>
      <c r="AJ66" s="15"/>
      <c r="AK66" s="27">
        <f t="shared" si="77"/>
        <v>-0.32900000000000773</v>
      </c>
      <c r="AL66" s="29">
        <f t="shared" si="78"/>
        <v>-0.19599999999999795</v>
      </c>
      <c r="AM66" s="29">
        <f t="shared" si="79"/>
        <v>-0.36299999999999955</v>
      </c>
      <c r="AN66" s="29">
        <f t="shared" si="80"/>
        <v>-0.33600000000001273</v>
      </c>
      <c r="AO66" s="29">
        <f t="shared" si="81"/>
        <v>4.9999999999954525E-3</v>
      </c>
      <c r="AP66" s="29">
        <f t="shared" si="88"/>
        <v>-4.0999999999996817E-2</v>
      </c>
      <c r="AQ66" s="29">
        <f t="shared" si="89"/>
        <v>-0.21799999999998931</v>
      </c>
      <c r="AR66" s="38">
        <f t="shared" si="90"/>
        <v>-0.11299999999999955</v>
      </c>
      <c r="AS66" s="38">
        <f t="shared" si="91"/>
        <v>-0.17099999999999227</v>
      </c>
      <c r="AT66" s="38">
        <f t="shared" si="72"/>
        <v>-0.34800000000001319</v>
      </c>
      <c r="AU66" s="38">
        <f t="shared" si="6"/>
        <v>5.7999999999992724E-2</v>
      </c>
      <c r="AV66" s="108">
        <f t="shared" si="25"/>
        <v>-0.18654545454545646</v>
      </c>
      <c r="AW66" s="22">
        <f t="shared" si="82"/>
        <v>-0.15800000000001546</v>
      </c>
      <c r="AX66" s="29">
        <f t="shared" si="83"/>
        <v>-0.35799999999997567</v>
      </c>
      <c r="AY66" s="29">
        <f t="shared" si="84"/>
        <v>-0.25200000000000955</v>
      </c>
      <c r="AZ66" s="29">
        <f t="shared" si="85"/>
        <v>-0.40000000000000568</v>
      </c>
      <c r="BA66" s="29">
        <f t="shared" si="86"/>
        <v>-1.999999999998181E-2</v>
      </c>
      <c r="BB66" s="29">
        <f t="shared" si="87"/>
        <v>2.199999999999136E-2</v>
      </c>
      <c r="BC66" s="29">
        <f t="shared" si="65"/>
        <v>-8.2999999999998408E-2</v>
      </c>
      <c r="BD66" s="29">
        <f t="shared" si="66"/>
        <v>-0.132000000000005</v>
      </c>
      <c r="BE66" s="29">
        <f t="shared" si="92"/>
        <v>-0.34100000000000819</v>
      </c>
      <c r="BF66" s="29">
        <f t="shared" si="68"/>
        <v>-0.20199999999999818</v>
      </c>
      <c r="BG66" s="29">
        <f t="shared" si="69"/>
        <v>-0.27150000000000318</v>
      </c>
      <c r="BH66" s="29">
        <f t="shared" si="93"/>
        <v>-0.18690909090909197</v>
      </c>
    </row>
    <row r="67" spans="1:60" x14ac:dyDescent="0.25">
      <c r="A67" s="3">
        <v>2147</v>
      </c>
      <c r="B67" s="27">
        <v>2062741.5049999999</v>
      </c>
      <c r="C67" s="27">
        <v>6223015.9460000005</v>
      </c>
      <c r="D67" s="27">
        <v>193.99</v>
      </c>
      <c r="E67" s="90" t="s">
        <v>84</v>
      </c>
      <c r="F67" s="54">
        <v>2012</v>
      </c>
      <c r="G67" s="27">
        <v>196.62899999999999</v>
      </c>
      <c r="H67" s="54">
        <v>2012</v>
      </c>
      <c r="I67" s="27">
        <v>196.577</v>
      </c>
      <c r="J67" s="54">
        <v>2023</v>
      </c>
      <c r="K67" s="149"/>
      <c r="L67" s="44"/>
      <c r="M67" s="27">
        <v>196.577</v>
      </c>
      <c r="N67" s="27">
        <v>196.62899999999999</v>
      </c>
      <c r="O67" s="27">
        <v>196.36500000000001</v>
      </c>
      <c r="P67" s="27">
        <v>196.27</v>
      </c>
      <c r="Q67" s="27">
        <v>195.94</v>
      </c>
      <c r="R67" s="27">
        <v>195.87700000000001</v>
      </c>
      <c r="S67" s="27">
        <v>195.47499999999999</v>
      </c>
      <c r="T67" s="27">
        <v>195.417</v>
      </c>
      <c r="U67" s="27">
        <v>195.03100000000001</v>
      </c>
      <c r="V67" s="27">
        <v>195.00700000000001</v>
      </c>
      <c r="W67" s="27">
        <v>195.00700000000001</v>
      </c>
      <c r="X67" s="27">
        <v>195.1</v>
      </c>
      <c r="Y67" s="27">
        <v>195.10599999999999</v>
      </c>
      <c r="Z67" s="27">
        <v>195.08500000000001</v>
      </c>
      <c r="AA67" s="27">
        <v>195.00399999999999</v>
      </c>
      <c r="AB67" s="34">
        <v>194.87100000000001</v>
      </c>
      <c r="AC67" s="34">
        <v>194.745</v>
      </c>
      <c r="AD67" s="34">
        <v>194.714</v>
      </c>
      <c r="AE67" s="60">
        <v>194.44499999999999</v>
      </c>
      <c r="AF67" s="60">
        <v>194.15700000000001</v>
      </c>
      <c r="AG67" s="60">
        <v>194.00200000000001</v>
      </c>
      <c r="AH67" s="60">
        <v>193.953</v>
      </c>
      <c r="AI67" s="60">
        <f t="shared" si="71"/>
        <v>193.99</v>
      </c>
      <c r="AJ67" s="15"/>
      <c r="AK67" s="27">
        <f t="shared" si="77"/>
        <v>-0.35899999999998045</v>
      </c>
      <c r="AL67" s="29">
        <f t="shared" si="78"/>
        <v>-0.39300000000000068</v>
      </c>
      <c r="AM67" s="29">
        <f t="shared" si="79"/>
        <v>-0.46000000000000796</v>
      </c>
      <c r="AN67" s="29">
        <f t="shared" si="80"/>
        <v>-0.40999999999999659</v>
      </c>
      <c r="AO67" s="29">
        <f t="shared" si="81"/>
        <v>9.2999999999989313E-2</v>
      </c>
      <c r="AP67" s="29">
        <f t="shared" si="88"/>
        <v>-1.4999999999986358E-2</v>
      </c>
      <c r="AQ67" s="29">
        <f t="shared" si="89"/>
        <v>-0.21399999999999864</v>
      </c>
      <c r="AR67" s="38">
        <f t="shared" si="90"/>
        <v>-0.12600000000000477</v>
      </c>
      <c r="AS67" s="38">
        <f t="shared" si="91"/>
        <v>-0.30000000000001137</v>
      </c>
      <c r="AT67" s="38">
        <f t="shared" si="72"/>
        <v>-0.44299999999998363</v>
      </c>
      <c r="AU67" s="38">
        <f t="shared" si="6"/>
        <v>-1.2000000000000455E-2</v>
      </c>
      <c r="AV67" s="108">
        <f t="shared" si="25"/>
        <v>-0.23990909090908924</v>
      </c>
      <c r="AW67" s="22">
        <f t="shared" si="82"/>
        <v>-0.21199999999998909</v>
      </c>
      <c r="AX67" s="29">
        <f t="shared" si="83"/>
        <v>-0.42500000000001137</v>
      </c>
      <c r="AY67" s="29">
        <f t="shared" si="84"/>
        <v>-0.46500000000000341</v>
      </c>
      <c r="AZ67" s="29">
        <f t="shared" si="85"/>
        <v>-0.4439999999999884</v>
      </c>
      <c r="BA67" s="29">
        <f t="shared" si="86"/>
        <v>-2.4000000000000909E-2</v>
      </c>
      <c r="BB67" s="29">
        <f t="shared" si="87"/>
        <v>9.8999999999989541E-2</v>
      </c>
      <c r="BC67" s="29">
        <f t="shared" si="65"/>
        <v>-0.10200000000000387</v>
      </c>
      <c r="BD67" s="29">
        <f t="shared" si="66"/>
        <v>-0.14499999999999602</v>
      </c>
      <c r="BE67" s="29">
        <f t="shared" si="92"/>
        <v>-0.55699999999998795</v>
      </c>
      <c r="BF67" s="29">
        <f t="shared" si="68"/>
        <v>-0.20400000000000773</v>
      </c>
      <c r="BG67" s="29">
        <f t="shared" si="69"/>
        <v>-0.38049999999999784</v>
      </c>
      <c r="BH67" s="29">
        <f t="shared" si="93"/>
        <v>-0.23854545454545412</v>
      </c>
    </row>
    <row r="68" spans="1:60" x14ac:dyDescent="0.25">
      <c r="A68" s="3">
        <v>2149</v>
      </c>
      <c r="B68" s="27">
        <v>2115864.8220000002</v>
      </c>
      <c r="C68" s="27">
        <v>6175004.3870000001</v>
      </c>
      <c r="D68" s="27">
        <v>163.517</v>
      </c>
      <c r="E68" s="90" t="s">
        <v>85</v>
      </c>
      <c r="F68" s="54">
        <v>2012</v>
      </c>
      <c r="G68" s="27">
        <v>165.88499999999999</v>
      </c>
      <c r="H68" s="54">
        <v>2012</v>
      </c>
      <c r="I68" s="27">
        <v>165.85</v>
      </c>
      <c r="J68" s="54">
        <v>2023</v>
      </c>
      <c r="K68" s="149"/>
      <c r="L68" s="44"/>
      <c r="M68" s="27">
        <v>165.85</v>
      </c>
      <c r="N68" s="27">
        <v>165.88499999999999</v>
      </c>
      <c r="O68" s="27">
        <v>165.72499999999999</v>
      </c>
      <c r="P68" s="27">
        <v>165.62</v>
      </c>
      <c r="Q68" s="27">
        <v>165.47</v>
      </c>
      <c r="R68" s="27">
        <v>165.429</v>
      </c>
      <c r="S68" s="27">
        <v>165.18600000000001</v>
      </c>
      <c r="T68" s="27">
        <v>164.999</v>
      </c>
      <c r="U68" s="27">
        <v>164.762</v>
      </c>
      <c r="V68" s="27">
        <v>164.60599999999999</v>
      </c>
      <c r="W68" s="27">
        <v>164.56100000000001</v>
      </c>
      <c r="X68" s="27">
        <v>164.61</v>
      </c>
      <c r="Y68" s="27">
        <v>164.75</v>
      </c>
      <c r="Z68" s="27">
        <v>164.56100000000001</v>
      </c>
      <c r="AA68" s="27">
        <v>164.52600000000001</v>
      </c>
      <c r="AB68" s="34">
        <v>164.411</v>
      </c>
      <c r="AC68" s="34">
        <v>164.285</v>
      </c>
      <c r="AD68" s="34">
        <v>164.238</v>
      </c>
      <c r="AE68" s="60">
        <v>164.035</v>
      </c>
      <c r="AF68" s="60">
        <v>163.881</v>
      </c>
      <c r="AG68" s="60">
        <v>163.453</v>
      </c>
      <c r="AH68" s="60">
        <v>163.59800000000001</v>
      </c>
      <c r="AI68" s="60">
        <f t="shared" si="71"/>
        <v>163.517</v>
      </c>
      <c r="AJ68" s="15"/>
      <c r="AK68" s="27">
        <f t="shared" si="77"/>
        <v>-0.26499999999998636</v>
      </c>
      <c r="AL68" s="29">
        <f t="shared" si="78"/>
        <v>-0.1910000000000025</v>
      </c>
      <c r="AM68" s="29">
        <f t="shared" si="79"/>
        <v>-0.43000000000000682</v>
      </c>
      <c r="AN68" s="29">
        <f t="shared" si="80"/>
        <v>-0.39300000000000068</v>
      </c>
      <c r="AO68" s="29">
        <f t="shared" si="81"/>
        <v>4.0000000000190994E-3</v>
      </c>
      <c r="AP68" s="29">
        <f t="shared" si="88"/>
        <v>-4.9000000000006594E-2</v>
      </c>
      <c r="AQ68" s="29">
        <f t="shared" si="89"/>
        <v>-0.15000000000000568</v>
      </c>
      <c r="AR68" s="38">
        <f t="shared" si="90"/>
        <v>-0.12600000000000477</v>
      </c>
      <c r="AS68" s="38">
        <f t="shared" si="91"/>
        <v>-0.25</v>
      </c>
      <c r="AT68" s="38">
        <f t="shared" si="72"/>
        <v>-0.58199999999999363</v>
      </c>
      <c r="AU68" s="38">
        <f t="shared" si="6"/>
        <v>6.3999999999992951E-2</v>
      </c>
      <c r="AV68" s="108">
        <f t="shared" si="25"/>
        <v>-0.21527272727272681</v>
      </c>
      <c r="AW68" s="22">
        <f t="shared" si="82"/>
        <v>-0.125</v>
      </c>
      <c r="AX68" s="29">
        <f t="shared" si="83"/>
        <v>-0.25499999999999545</v>
      </c>
      <c r="AY68" s="29">
        <f t="shared" si="84"/>
        <v>-0.28399999999999181</v>
      </c>
      <c r="AZ68" s="29">
        <f t="shared" si="85"/>
        <v>-0.42400000000000659</v>
      </c>
      <c r="BA68" s="29">
        <f t="shared" si="86"/>
        <v>-0.20099999999999341</v>
      </c>
      <c r="BB68" s="29">
        <f t="shared" si="87"/>
        <v>0.18899999999999295</v>
      </c>
      <c r="BC68" s="29">
        <f t="shared" si="65"/>
        <v>-0.22399999999998954</v>
      </c>
      <c r="BD68" s="29">
        <f t="shared" si="66"/>
        <v>-0.14400000000000546</v>
      </c>
      <c r="BE68" s="29">
        <f t="shared" si="92"/>
        <v>-0.35699999999999932</v>
      </c>
      <c r="BF68" s="29">
        <f t="shared" si="68"/>
        <v>-0.28299999999998704</v>
      </c>
      <c r="BG68" s="29">
        <f t="shared" si="69"/>
        <v>-0.31999999999999318</v>
      </c>
      <c r="BH68" s="29">
        <f t="shared" si="93"/>
        <v>-0.20472727272727101</v>
      </c>
    </row>
    <row r="69" spans="1:60" x14ac:dyDescent="0.25">
      <c r="A69" s="3">
        <v>2160</v>
      </c>
      <c r="B69" s="27">
        <v>2078118.2379999999</v>
      </c>
      <c r="C69" s="27">
        <v>6305388.2120000003</v>
      </c>
      <c r="D69" s="27">
        <v>231.738</v>
      </c>
      <c r="E69" s="90" t="s">
        <v>86</v>
      </c>
      <c r="F69" s="54">
        <v>2012</v>
      </c>
      <c r="G69" s="27">
        <v>232.91</v>
      </c>
      <c r="H69" s="54">
        <v>2012</v>
      </c>
      <c r="I69" s="27">
        <v>232.88900000000001</v>
      </c>
      <c r="J69" s="54">
        <v>2023</v>
      </c>
      <c r="K69" s="149"/>
      <c r="L69" s="44"/>
      <c r="M69" s="27">
        <v>232.88900000000001</v>
      </c>
      <c r="N69" s="27">
        <v>232.91</v>
      </c>
      <c r="O69" s="27">
        <v>232.67099999999999</v>
      </c>
      <c r="P69" s="27">
        <v>232.76</v>
      </c>
      <c r="Q69" s="27">
        <v>232.71</v>
      </c>
      <c r="R69" s="27">
        <v>232.679</v>
      </c>
      <c r="S69" s="27">
        <v>232.49100000000001</v>
      </c>
      <c r="T69" s="27">
        <v>232.57</v>
      </c>
      <c r="U69" s="27">
        <v>232.279</v>
      </c>
      <c r="V69" s="27">
        <v>232.41</v>
      </c>
      <c r="W69" s="27">
        <v>232.22200000000001</v>
      </c>
      <c r="X69" s="27">
        <v>232.29</v>
      </c>
      <c r="Y69" s="27">
        <v>232.52600000000001</v>
      </c>
      <c r="Z69" s="27">
        <v>232.261</v>
      </c>
      <c r="AA69" s="27">
        <v>232.32499999999999</v>
      </c>
      <c r="AB69" s="34">
        <v>232.06899999999999</v>
      </c>
      <c r="AC69" s="34">
        <v>232.09899999999999</v>
      </c>
      <c r="AD69" s="34">
        <v>232.30699999999999</v>
      </c>
      <c r="AE69" s="60">
        <v>231.87299999999999</v>
      </c>
      <c r="AF69" s="60">
        <v>232.059</v>
      </c>
      <c r="AG69" s="60">
        <v>231.94499999999999</v>
      </c>
      <c r="AH69" s="60">
        <v>231.798</v>
      </c>
      <c r="AI69" s="60">
        <f t="shared" si="71"/>
        <v>231.738</v>
      </c>
      <c r="AJ69" s="15"/>
      <c r="AK69" s="27">
        <f t="shared" si="77"/>
        <v>-0.15000000000000568</v>
      </c>
      <c r="AL69" s="29">
        <f t="shared" si="78"/>
        <v>-8.0999999999988859E-2</v>
      </c>
      <c r="AM69" s="29">
        <f t="shared" si="79"/>
        <v>-0.10900000000000887</v>
      </c>
      <c r="AN69" s="29">
        <f t="shared" si="80"/>
        <v>-0.15999999999999659</v>
      </c>
      <c r="AO69" s="29">
        <f t="shared" si="81"/>
        <v>-0.12000000000000455</v>
      </c>
      <c r="AP69" s="29">
        <f t="shared" si="88"/>
        <v>-2.8999999999996362E-2</v>
      </c>
      <c r="AQ69" s="29">
        <f t="shared" si="89"/>
        <v>-0.19200000000000728</v>
      </c>
      <c r="AR69" s="38">
        <f t="shared" si="90"/>
        <v>3.0000000000001137E-2</v>
      </c>
      <c r="AS69" s="38">
        <f t="shared" si="91"/>
        <v>-0.22599999999999909</v>
      </c>
      <c r="AT69" s="38">
        <f t="shared" si="72"/>
        <v>7.2000000000002728E-2</v>
      </c>
      <c r="AU69" s="38">
        <f t="shared" si="6"/>
        <v>-0.20699999999999363</v>
      </c>
      <c r="AV69" s="108">
        <f t="shared" si="25"/>
        <v>-0.10654545454545428</v>
      </c>
      <c r="AW69" s="22">
        <f t="shared" si="82"/>
        <v>-0.21800000000001774</v>
      </c>
      <c r="AX69" s="29">
        <f t="shared" si="83"/>
        <v>3.9000000000015689E-2</v>
      </c>
      <c r="AY69" s="29">
        <f t="shared" si="84"/>
        <v>-0.21899999999999409</v>
      </c>
      <c r="AZ69" s="29">
        <f t="shared" si="85"/>
        <v>-0.21200000000001751</v>
      </c>
      <c r="BA69" s="29">
        <f t="shared" si="86"/>
        <v>-5.6999999999987949E-2</v>
      </c>
      <c r="BB69" s="29">
        <f t="shared" si="87"/>
        <v>0.30400000000000205</v>
      </c>
      <c r="BC69" s="29">
        <f t="shared" si="65"/>
        <v>-0.20100000000002183</v>
      </c>
      <c r="BD69" s="29">
        <f t="shared" si="66"/>
        <v>-9.0000000000003411E-3</v>
      </c>
      <c r="BE69" s="29">
        <f t="shared" si="92"/>
        <v>-0.24799999999999045</v>
      </c>
      <c r="BF69" s="29">
        <f t="shared" si="68"/>
        <v>-0.26099999999999568</v>
      </c>
      <c r="BG69" s="29">
        <f t="shared" si="69"/>
        <v>-0.25449999999999307</v>
      </c>
      <c r="BH69" s="29">
        <f t="shared" si="93"/>
        <v>-9.9181818181818926E-2</v>
      </c>
    </row>
    <row r="70" spans="1:60" x14ac:dyDescent="0.25">
      <c r="A70" s="3">
        <v>2348</v>
      </c>
      <c r="B70" s="27">
        <v>2256684.7250000001</v>
      </c>
      <c r="C70" s="27">
        <v>6084032.7879999997</v>
      </c>
      <c r="D70" s="27">
        <v>111.76900000000001</v>
      </c>
      <c r="E70" s="90" t="s">
        <v>87</v>
      </c>
      <c r="F70" s="54">
        <v>2012</v>
      </c>
      <c r="G70" s="27">
        <v>113.328</v>
      </c>
      <c r="H70" s="54">
        <v>2012</v>
      </c>
      <c r="I70" s="27">
        <v>113.407</v>
      </c>
      <c r="J70" s="54">
        <v>2023</v>
      </c>
      <c r="K70" s="149"/>
      <c r="L70" s="44"/>
      <c r="M70" s="27">
        <v>113.407</v>
      </c>
      <c r="N70" s="27">
        <v>113.328</v>
      </c>
      <c r="O70" s="27">
        <v>113.188</v>
      </c>
      <c r="P70" s="27">
        <v>113.16</v>
      </c>
      <c r="Q70" s="27">
        <v>113.06</v>
      </c>
      <c r="R70" s="27">
        <v>113.083</v>
      </c>
      <c r="S70" s="27">
        <v>112.88500000000001</v>
      </c>
      <c r="T70" s="27">
        <v>112.81699999999999</v>
      </c>
      <c r="U70" s="27">
        <v>112.779</v>
      </c>
      <c r="V70" s="27">
        <v>112.652</v>
      </c>
      <c r="W70" s="27">
        <v>112.583</v>
      </c>
      <c r="X70" s="27">
        <v>112.54</v>
      </c>
      <c r="Y70" s="27">
        <v>112.43</v>
      </c>
      <c r="Z70" s="27">
        <v>112.455</v>
      </c>
      <c r="AA70" s="27">
        <v>112.355</v>
      </c>
      <c r="AB70" s="34">
        <v>112.307</v>
      </c>
      <c r="AC70" s="34">
        <v>112.151</v>
      </c>
      <c r="AD70" s="34">
        <v>112.015</v>
      </c>
      <c r="AE70" s="60">
        <v>111.983</v>
      </c>
      <c r="AF70" s="60">
        <v>111.845</v>
      </c>
      <c r="AG70" s="60">
        <v>111.738</v>
      </c>
      <c r="AH70" s="60">
        <v>111.682</v>
      </c>
      <c r="AI70" s="60">
        <f t="shared" si="71"/>
        <v>111.76900000000001</v>
      </c>
      <c r="AJ70" s="15"/>
      <c r="AK70" s="27">
        <f t="shared" si="77"/>
        <v>-0.16800000000000637</v>
      </c>
      <c r="AL70" s="29">
        <f t="shared" si="78"/>
        <v>-7.6999999999998181E-2</v>
      </c>
      <c r="AM70" s="29">
        <f t="shared" si="79"/>
        <v>-0.26600000000000534</v>
      </c>
      <c r="AN70" s="29">
        <f t="shared" si="80"/>
        <v>-0.16499999999999204</v>
      </c>
      <c r="AO70" s="29">
        <f t="shared" si="81"/>
        <v>-0.11199999999999477</v>
      </c>
      <c r="AP70" s="29">
        <f t="shared" si="88"/>
        <v>-8.5000000000007958E-2</v>
      </c>
      <c r="AQ70" s="29">
        <f t="shared" si="89"/>
        <v>-0.14799999999999613</v>
      </c>
      <c r="AR70" s="38">
        <f t="shared" si="90"/>
        <v>-0.15600000000000591</v>
      </c>
      <c r="AS70" s="38">
        <f t="shared" si="91"/>
        <v>-0.16799999999999216</v>
      </c>
      <c r="AT70" s="38">
        <f t="shared" si="72"/>
        <v>-0.24500000000000455</v>
      </c>
      <c r="AU70" s="38">
        <f t="shared" si="6"/>
        <v>3.1000000000005912E-2</v>
      </c>
      <c r="AV70" s="108">
        <f t="shared" si="25"/>
        <v>-0.14172727272727251</v>
      </c>
      <c r="AW70" s="22">
        <f t="shared" si="82"/>
        <v>-0.21899999999999409</v>
      </c>
      <c r="AX70" s="29">
        <f t="shared" si="83"/>
        <v>-0.12800000000000011</v>
      </c>
      <c r="AY70" s="29">
        <f t="shared" si="84"/>
        <v>-0.17499999999999716</v>
      </c>
      <c r="AZ70" s="29">
        <f t="shared" si="85"/>
        <v>-0.10600000000000875</v>
      </c>
      <c r="BA70" s="29">
        <f t="shared" si="86"/>
        <v>-0.19599999999999795</v>
      </c>
      <c r="BB70" s="29">
        <f t="shared" si="87"/>
        <v>-0.15299999999999159</v>
      </c>
      <c r="BC70" s="29">
        <f t="shared" si="65"/>
        <v>-7.5000000000002842E-2</v>
      </c>
      <c r="BD70" s="29">
        <f t="shared" si="66"/>
        <v>-0.17000000000000171</v>
      </c>
      <c r="BE70" s="29">
        <f t="shared" si="92"/>
        <v>-0.17000000000000171</v>
      </c>
      <c r="BF70" s="29">
        <f t="shared" si="68"/>
        <v>-0.1629999999999967</v>
      </c>
      <c r="BG70" s="29">
        <f t="shared" si="69"/>
        <v>-0.1664999999999992</v>
      </c>
      <c r="BH70" s="29">
        <f t="shared" si="93"/>
        <v>-0.1568181818181813</v>
      </c>
    </row>
    <row r="71" spans="1:60" x14ac:dyDescent="0.25">
      <c r="A71" s="3">
        <v>2362</v>
      </c>
      <c r="B71" s="27">
        <v>2256922.932</v>
      </c>
      <c r="C71" s="27">
        <v>6143246.2769999998</v>
      </c>
      <c r="D71" s="27">
        <v>145.17099999999999</v>
      </c>
      <c r="E71" s="90" t="s">
        <v>88</v>
      </c>
      <c r="F71" s="54">
        <v>2012</v>
      </c>
      <c r="G71" s="27">
        <v>149.571</v>
      </c>
      <c r="H71" s="54">
        <v>2012</v>
      </c>
      <c r="I71" s="27">
        <v>149.72900000000001</v>
      </c>
      <c r="J71" s="54">
        <v>2023</v>
      </c>
      <c r="K71" s="149"/>
      <c r="L71" s="44"/>
      <c r="M71" s="27">
        <v>149.72900000000001</v>
      </c>
      <c r="N71" s="27">
        <v>149.571</v>
      </c>
      <c r="O71" s="27">
        <v>149.18100000000001</v>
      </c>
      <c r="P71" s="27">
        <v>149.02000000000001</v>
      </c>
      <c r="Q71" s="27">
        <v>148.65</v>
      </c>
      <c r="R71" s="27">
        <v>148.46700000000001</v>
      </c>
      <c r="S71" s="27">
        <v>147.886</v>
      </c>
      <c r="T71" s="27">
        <v>147.596</v>
      </c>
      <c r="U71" s="27">
        <v>147.298</v>
      </c>
      <c r="V71" s="27">
        <v>147.00700000000001</v>
      </c>
      <c r="W71" s="27">
        <v>146.797</v>
      </c>
      <c r="X71" s="27">
        <v>146.69</v>
      </c>
      <c r="Y71" s="27">
        <v>146.47499999999999</v>
      </c>
      <c r="Z71" s="27">
        <v>146.39400000000001</v>
      </c>
      <c r="AA71" s="27">
        <v>146.31299999999999</v>
      </c>
      <c r="AB71" s="34">
        <v>146.22999999999999</v>
      </c>
      <c r="AC71" s="34">
        <v>145.959</v>
      </c>
      <c r="AD71" s="34">
        <v>145.69</v>
      </c>
      <c r="AE71" s="60">
        <v>145.62299999999999</v>
      </c>
      <c r="AF71" s="60">
        <v>145.374</v>
      </c>
      <c r="AG71" s="60">
        <v>145.17599999999999</v>
      </c>
      <c r="AH71" s="60">
        <v>145.148</v>
      </c>
      <c r="AI71" s="60">
        <f t="shared" si="71"/>
        <v>145.17099999999999</v>
      </c>
      <c r="AJ71" s="15"/>
      <c r="AK71" s="27">
        <f t="shared" si="77"/>
        <v>-0.55099999999998772</v>
      </c>
      <c r="AL71" s="29">
        <f t="shared" si="78"/>
        <v>-0.55299999999999727</v>
      </c>
      <c r="AM71" s="29">
        <f t="shared" si="79"/>
        <v>-0.87100000000000932</v>
      </c>
      <c r="AN71" s="29">
        <f t="shared" si="80"/>
        <v>-0.58899999999999864</v>
      </c>
      <c r="AO71" s="29">
        <f t="shared" si="81"/>
        <v>-0.31700000000000728</v>
      </c>
      <c r="AP71" s="29">
        <f t="shared" si="88"/>
        <v>-0.29599999999999227</v>
      </c>
      <c r="AQ71" s="29">
        <f t="shared" si="89"/>
        <v>-0.16400000000001569</v>
      </c>
      <c r="AR71" s="38">
        <f t="shared" si="90"/>
        <v>-0.27099999999998658</v>
      </c>
      <c r="AS71" s="38">
        <f t="shared" si="91"/>
        <v>-0.33600000000001273</v>
      </c>
      <c r="AT71" s="38">
        <f t="shared" si="72"/>
        <v>-0.44700000000000273</v>
      </c>
      <c r="AU71" s="38">
        <f t="shared" ref="AU71:AU83" si="94">AI71-AG71</f>
        <v>-4.9999999999954525E-3</v>
      </c>
      <c r="AV71" s="108">
        <f t="shared" si="25"/>
        <v>-0.40000000000000052</v>
      </c>
      <c r="AW71" s="22">
        <f t="shared" si="82"/>
        <v>-0.54800000000000182</v>
      </c>
      <c r="AX71" s="29">
        <f t="shared" si="83"/>
        <v>-0.53100000000000591</v>
      </c>
      <c r="AY71" s="29">
        <f t="shared" si="84"/>
        <v>-0.76400000000001</v>
      </c>
      <c r="AZ71" s="29">
        <f t="shared" si="85"/>
        <v>-0.58799999999999386</v>
      </c>
      <c r="BA71" s="29">
        <f t="shared" si="86"/>
        <v>-0.50100000000000477</v>
      </c>
      <c r="BB71" s="29">
        <f t="shared" si="87"/>
        <v>-0.32200000000000273</v>
      </c>
      <c r="BC71" s="29">
        <f t="shared" si="65"/>
        <v>-0.16200000000000614</v>
      </c>
      <c r="BD71" s="29">
        <f t="shared" si="66"/>
        <v>-0.31149999999999523</v>
      </c>
      <c r="BE71" s="29">
        <f t="shared" si="92"/>
        <v>-0.3160000000000025</v>
      </c>
      <c r="BF71" s="29">
        <f t="shared" si="68"/>
        <v>-0.22599999999999909</v>
      </c>
      <c r="BG71" s="29">
        <f t="shared" si="69"/>
        <v>-0.2710000000000008</v>
      </c>
      <c r="BH71" s="29">
        <f t="shared" si="93"/>
        <v>-0.41645454545454702</v>
      </c>
    </row>
    <row r="72" spans="1:60" x14ac:dyDescent="0.25">
      <c r="A72" s="3">
        <v>2378</v>
      </c>
      <c r="B72" s="27">
        <v>2256382.0720000002</v>
      </c>
      <c r="C72" s="27">
        <v>6184306.4440000001</v>
      </c>
      <c r="D72" s="27">
        <v>177.31399999999999</v>
      </c>
      <c r="E72" s="90" t="s">
        <v>89</v>
      </c>
      <c r="F72" s="54">
        <v>2012</v>
      </c>
      <c r="G72" s="27">
        <v>182.41300000000001</v>
      </c>
      <c r="H72" s="54">
        <v>2012</v>
      </c>
      <c r="I72" s="27">
        <v>182.46199999999999</v>
      </c>
      <c r="J72" s="54">
        <v>2023</v>
      </c>
      <c r="K72" s="149"/>
      <c r="L72" s="44"/>
      <c r="M72" s="27">
        <v>182.46199999999999</v>
      </c>
      <c r="N72" s="27">
        <v>182.41300000000001</v>
      </c>
      <c r="O72" s="27">
        <v>182.12799999999999</v>
      </c>
      <c r="P72" s="27">
        <v>181.96</v>
      </c>
      <c r="Q72" s="27">
        <v>181.59</v>
      </c>
      <c r="R72" s="27">
        <v>181.42400000000001</v>
      </c>
      <c r="S72" s="27">
        <v>180.874</v>
      </c>
      <c r="T72" s="27">
        <v>180.64400000000001</v>
      </c>
      <c r="U72" s="27">
        <v>180.435</v>
      </c>
      <c r="V72" s="27">
        <v>180.12799999999999</v>
      </c>
      <c r="W72" s="27">
        <v>179.84800000000001</v>
      </c>
      <c r="X72" s="27">
        <v>179.76</v>
      </c>
      <c r="Y72" s="27">
        <v>179.41200000000001</v>
      </c>
      <c r="Z72" s="27">
        <v>179.256</v>
      </c>
      <c r="AA72" s="27">
        <v>179.09800000000001</v>
      </c>
      <c r="AB72" s="34">
        <v>178.97399999999999</v>
      </c>
      <c r="AC72" s="34">
        <v>178.58699999999999</v>
      </c>
      <c r="AD72" s="34">
        <v>178.18299999999999</v>
      </c>
      <c r="AE72" s="60">
        <v>177.923</v>
      </c>
      <c r="AF72" s="60">
        <v>177.714</v>
      </c>
      <c r="AG72" s="60">
        <v>177.37200000000001</v>
      </c>
      <c r="AH72" s="60">
        <v>177.34200000000001</v>
      </c>
      <c r="AI72" s="60">
        <f t="shared" si="71"/>
        <v>177.31399999999999</v>
      </c>
      <c r="AJ72" s="15"/>
      <c r="AK72" s="27">
        <f t="shared" si="77"/>
        <v>-0.45300000000000296</v>
      </c>
      <c r="AL72" s="29">
        <f t="shared" si="78"/>
        <v>-0.53600000000000136</v>
      </c>
      <c r="AM72" s="29">
        <f t="shared" si="79"/>
        <v>-0.78000000000000114</v>
      </c>
      <c r="AN72" s="29">
        <f t="shared" si="80"/>
        <v>-0.51600000000001955</v>
      </c>
      <c r="AO72" s="29">
        <f t="shared" si="81"/>
        <v>-0.367999999999995</v>
      </c>
      <c r="AP72" s="29">
        <f t="shared" si="88"/>
        <v>-0.50399999999999068</v>
      </c>
      <c r="AQ72" s="29">
        <f t="shared" si="89"/>
        <v>-0.28200000000001069</v>
      </c>
      <c r="AR72" s="38">
        <f t="shared" si="90"/>
        <v>-0.38700000000000045</v>
      </c>
      <c r="AS72" s="38">
        <f t="shared" si="91"/>
        <v>-0.66399999999998727</v>
      </c>
      <c r="AT72" s="38">
        <f t="shared" si="72"/>
        <v>-0.55099999999998772</v>
      </c>
      <c r="AU72" s="38">
        <f t="shared" si="94"/>
        <v>-5.8000000000021146E-2</v>
      </c>
      <c r="AV72" s="108">
        <f t="shared" si="25"/>
        <v>-0.4635454545454562</v>
      </c>
      <c r="AW72" s="22">
        <f t="shared" si="82"/>
        <v>-0.33400000000000318</v>
      </c>
      <c r="AX72" s="29">
        <f t="shared" si="83"/>
        <v>-0.53799999999998249</v>
      </c>
      <c r="AY72" s="29">
        <f t="shared" si="84"/>
        <v>-0.71600000000000819</v>
      </c>
      <c r="AZ72" s="29">
        <f t="shared" si="85"/>
        <v>-0.43899999999999295</v>
      </c>
      <c r="BA72" s="29">
        <f t="shared" si="86"/>
        <v>-0.58699999999998909</v>
      </c>
      <c r="BB72" s="29">
        <f t="shared" si="87"/>
        <v>-0.43600000000000705</v>
      </c>
      <c r="BC72" s="29">
        <f t="shared" si="65"/>
        <v>-0.31399999999999295</v>
      </c>
      <c r="BD72" s="29">
        <f t="shared" si="66"/>
        <v>-0.45750000000001023</v>
      </c>
      <c r="BE72" s="29">
        <f t="shared" si="92"/>
        <v>-0.46899999999999409</v>
      </c>
      <c r="BF72" s="29">
        <f t="shared" si="68"/>
        <v>-0.37199999999998568</v>
      </c>
      <c r="BG72" s="29">
        <f t="shared" si="69"/>
        <v>-0.42049999999998988</v>
      </c>
      <c r="BH72" s="29">
        <f t="shared" si="93"/>
        <v>-0.46545454545454329</v>
      </c>
    </row>
    <row r="73" spans="1:60" x14ac:dyDescent="0.25">
      <c r="A73" s="3">
        <v>2448</v>
      </c>
      <c r="B73" s="27">
        <v>2061261.155</v>
      </c>
      <c r="C73" s="27">
        <v>6266141.1109999996</v>
      </c>
      <c r="D73" s="27">
        <v>195.63499999999999</v>
      </c>
      <c r="E73" s="90" t="s">
        <v>90</v>
      </c>
      <c r="F73" s="54">
        <v>2012</v>
      </c>
      <c r="G73" s="27">
        <v>199.18100000000001</v>
      </c>
      <c r="H73" s="54">
        <v>2012</v>
      </c>
      <c r="I73" s="27">
        <v>199.15199999999999</v>
      </c>
      <c r="J73" s="54">
        <v>2023</v>
      </c>
      <c r="K73" s="149"/>
      <c r="L73" s="44"/>
      <c r="M73" s="27">
        <v>199.15199999999999</v>
      </c>
      <c r="N73" s="27">
        <v>199.18100000000001</v>
      </c>
      <c r="O73" s="27">
        <v>198.89400000000001</v>
      </c>
      <c r="P73" s="27">
        <v>198.84</v>
      </c>
      <c r="Q73" s="27">
        <v>198.51</v>
      </c>
      <c r="R73" s="27">
        <v>198.43299999999999</v>
      </c>
      <c r="S73" s="27">
        <v>198.01599999999999</v>
      </c>
      <c r="T73" s="27">
        <v>197.99799999999999</v>
      </c>
      <c r="U73" s="27">
        <v>197.565</v>
      </c>
      <c r="V73" s="27">
        <v>197.62799999999999</v>
      </c>
      <c r="W73" s="27">
        <v>197.399</v>
      </c>
      <c r="X73" s="27">
        <v>197.46</v>
      </c>
      <c r="Y73" s="27">
        <v>197.37899999999999</v>
      </c>
      <c r="Z73" s="27">
        <v>197.26</v>
      </c>
      <c r="AA73" s="27">
        <v>197.06800000000001</v>
      </c>
      <c r="AB73" s="34">
        <v>196.93899999999999</v>
      </c>
      <c r="AC73" s="34">
        <v>196.71</v>
      </c>
      <c r="AD73" s="34">
        <v>196.66300000000001</v>
      </c>
      <c r="AE73" s="60">
        <v>196.19</v>
      </c>
      <c r="AF73" s="60">
        <v>196.01</v>
      </c>
      <c r="AG73" s="60">
        <v>195.89599999999999</v>
      </c>
      <c r="AH73" s="60">
        <v>195.67599999999999</v>
      </c>
      <c r="AI73" s="60">
        <f t="shared" si="71"/>
        <v>195.63499999999999</v>
      </c>
      <c r="AJ73" s="15"/>
      <c r="AK73" s="27">
        <f t="shared" si="77"/>
        <v>-0.34100000000000819</v>
      </c>
      <c r="AL73" s="29">
        <f t="shared" si="78"/>
        <v>-0.40700000000001069</v>
      </c>
      <c r="AM73" s="29">
        <f t="shared" si="79"/>
        <v>-0.43500000000000227</v>
      </c>
      <c r="AN73" s="29">
        <f t="shared" si="80"/>
        <v>-0.37000000000000455</v>
      </c>
      <c r="AO73" s="29">
        <f t="shared" si="81"/>
        <v>-0.16799999999997794</v>
      </c>
      <c r="AP73" s="29">
        <f t="shared" si="88"/>
        <v>-0.20000000000001705</v>
      </c>
      <c r="AQ73" s="29">
        <f t="shared" si="89"/>
        <v>-0.32099999999999795</v>
      </c>
      <c r="AR73" s="38">
        <f t="shared" si="90"/>
        <v>-0.22899999999998499</v>
      </c>
      <c r="AS73" s="38">
        <f t="shared" si="91"/>
        <v>-0.52000000000001023</v>
      </c>
      <c r="AT73" s="38">
        <f t="shared" si="72"/>
        <v>-0.29400000000001114</v>
      </c>
      <c r="AU73" s="38">
        <f t="shared" si="94"/>
        <v>-0.26099999999999568</v>
      </c>
      <c r="AV73" s="108">
        <f t="shared" si="25"/>
        <v>-0.32236363636363824</v>
      </c>
      <c r="AW73" s="22">
        <f t="shared" si="82"/>
        <v>-0.25799999999998136</v>
      </c>
      <c r="AX73" s="29">
        <f t="shared" si="83"/>
        <v>-0.38400000000001455</v>
      </c>
      <c r="AY73" s="29">
        <f t="shared" si="84"/>
        <v>-0.49399999999999977</v>
      </c>
      <c r="AZ73" s="29">
        <f t="shared" si="85"/>
        <v>-0.45099999999999341</v>
      </c>
      <c r="BA73" s="29">
        <f t="shared" si="86"/>
        <v>-0.16599999999999682</v>
      </c>
      <c r="BB73" s="29">
        <f t="shared" si="87"/>
        <v>-2.0000000000010232E-2</v>
      </c>
      <c r="BC73" s="29">
        <f t="shared" si="65"/>
        <v>-0.31099999999997863</v>
      </c>
      <c r="BD73" s="29">
        <f t="shared" si="66"/>
        <v>-0.20250000000000057</v>
      </c>
      <c r="BE73" s="29">
        <f t="shared" si="92"/>
        <v>-0.65300000000002001</v>
      </c>
      <c r="BF73" s="29">
        <f t="shared" si="68"/>
        <v>-0.33400000000000318</v>
      </c>
      <c r="BG73" s="29">
        <f t="shared" si="69"/>
        <v>-0.4935000000000116</v>
      </c>
      <c r="BH73" s="29">
        <f t="shared" si="93"/>
        <v>-0.31599999999999989</v>
      </c>
    </row>
    <row r="74" spans="1:60" x14ac:dyDescent="0.25">
      <c r="A74" s="19">
        <v>2562</v>
      </c>
      <c r="B74" s="2">
        <v>2232976.844</v>
      </c>
      <c r="C74" s="2">
        <v>6129496.557</v>
      </c>
      <c r="D74" s="27">
        <v>130.54</v>
      </c>
      <c r="E74" s="90" t="s">
        <v>91</v>
      </c>
      <c r="F74" s="54">
        <v>2012</v>
      </c>
      <c r="G74" s="27">
        <v>133.58600000000001</v>
      </c>
      <c r="H74" s="54">
        <v>2012</v>
      </c>
      <c r="I74" s="27">
        <v>133.65700000000001</v>
      </c>
      <c r="J74" s="54">
        <v>2023</v>
      </c>
      <c r="K74" s="149"/>
      <c r="L74" s="44"/>
      <c r="M74" s="27">
        <v>133.65700000000001</v>
      </c>
      <c r="N74" s="27">
        <v>133.58600000000001</v>
      </c>
      <c r="O74" s="27">
        <v>133.43100000000001</v>
      </c>
      <c r="P74" s="27">
        <v>133.29</v>
      </c>
      <c r="Q74" s="27">
        <v>133.11000000000001</v>
      </c>
      <c r="R74" s="27">
        <v>133.02600000000001</v>
      </c>
      <c r="S74" s="27">
        <v>132.52500000000001</v>
      </c>
      <c r="T74" s="27">
        <v>132.357</v>
      </c>
      <c r="U74" s="27">
        <v>132.256</v>
      </c>
      <c r="V74" s="27">
        <v>132.02099999999999</v>
      </c>
      <c r="W74" s="27">
        <v>131.863</v>
      </c>
      <c r="X74" s="27">
        <v>131.82</v>
      </c>
      <c r="Y74" s="27">
        <v>131.70699999999999</v>
      </c>
      <c r="Z74" s="27">
        <v>131.61199999999999</v>
      </c>
      <c r="AA74" s="27">
        <v>131.495</v>
      </c>
      <c r="AB74" s="34"/>
      <c r="AC74" s="34">
        <v>131.21600000000001</v>
      </c>
      <c r="AD74" s="34">
        <v>130.99299999999999</v>
      </c>
      <c r="AE74" s="60">
        <v>130.928</v>
      </c>
      <c r="AF74" s="60">
        <v>130.80199999999999</v>
      </c>
      <c r="AG74" s="60">
        <v>130.59800000000001</v>
      </c>
      <c r="AH74" s="60">
        <v>130.52600000000001</v>
      </c>
      <c r="AI74" s="60">
        <f t="shared" si="71"/>
        <v>130.54</v>
      </c>
      <c r="AJ74" s="15"/>
      <c r="AK74" s="27">
        <f t="shared" si="77"/>
        <v>-0.29600000000002069</v>
      </c>
      <c r="AL74" s="29">
        <f t="shared" si="78"/>
        <v>-0.26399999999998158</v>
      </c>
      <c r="AM74" s="29">
        <f t="shared" si="79"/>
        <v>-0.66900000000001114</v>
      </c>
      <c r="AN74" s="29">
        <f t="shared" si="80"/>
        <v>-0.33600000000001273</v>
      </c>
      <c r="AO74" s="29">
        <f t="shared" si="81"/>
        <v>-0.20099999999999341</v>
      </c>
      <c r="AP74" s="29">
        <f t="shared" si="88"/>
        <v>-0.20799999999999841</v>
      </c>
      <c r="AQ74" s="29"/>
      <c r="AR74" s="38"/>
      <c r="AS74" s="38">
        <f t="shared" si="91"/>
        <v>-0.28800000000001091</v>
      </c>
      <c r="AT74" s="38">
        <f t="shared" si="72"/>
        <v>-0.32999999999998408</v>
      </c>
      <c r="AU74" s="38">
        <f t="shared" si="94"/>
        <v>-5.8000000000021146E-2</v>
      </c>
      <c r="AV74" s="108">
        <f t="shared" si="25"/>
        <v>-0.27690909090909277</v>
      </c>
      <c r="AW74" s="22">
        <f t="shared" si="82"/>
        <v>-0.22599999999999909</v>
      </c>
      <c r="AX74" s="29">
        <f t="shared" si="83"/>
        <v>-0.32099999999999795</v>
      </c>
      <c r="AY74" s="29">
        <f t="shared" si="84"/>
        <v>-0.58500000000000796</v>
      </c>
      <c r="AZ74" s="29">
        <f t="shared" si="85"/>
        <v>-0.26900000000000546</v>
      </c>
      <c r="BA74" s="29">
        <f t="shared" si="86"/>
        <v>-0.39300000000000068</v>
      </c>
      <c r="BB74" s="29">
        <f t="shared" si="87"/>
        <v>-0.15600000000000591</v>
      </c>
      <c r="BC74" s="29">
        <f t="shared" si="65"/>
        <v>-0.21199999999998909</v>
      </c>
      <c r="BD74" s="29">
        <f t="shared" si="66"/>
        <v>-0.25100000000000477</v>
      </c>
      <c r="BE74" s="29">
        <f t="shared" si="92"/>
        <v>-0.1910000000000025</v>
      </c>
      <c r="BF74" s="29">
        <f t="shared" si="68"/>
        <v>-0.27599999999998204</v>
      </c>
      <c r="BG74" s="29">
        <f t="shared" si="69"/>
        <v>-0.23349999999999227</v>
      </c>
      <c r="BH74" s="29">
        <f t="shared" si="93"/>
        <v>-0.28463636363636363</v>
      </c>
    </row>
    <row r="75" spans="1:60" x14ac:dyDescent="0.25">
      <c r="A75" s="3" t="s">
        <v>92</v>
      </c>
      <c r="B75" s="27">
        <v>2405238.943</v>
      </c>
      <c r="C75" s="27">
        <v>6241496.466</v>
      </c>
      <c r="D75" s="27">
        <v>1289.5050000000001</v>
      </c>
      <c r="E75" s="90" t="s">
        <v>93</v>
      </c>
      <c r="F75" s="54">
        <v>2013</v>
      </c>
      <c r="G75" s="27">
        <v>1289.229</v>
      </c>
      <c r="H75" s="54">
        <v>2014</v>
      </c>
      <c r="I75" s="27">
        <v>1289.27</v>
      </c>
      <c r="J75" s="54">
        <v>2023</v>
      </c>
      <c r="K75" s="149"/>
      <c r="L75" s="44"/>
      <c r="M75" s="27"/>
      <c r="N75" s="27"/>
      <c r="O75" s="27"/>
      <c r="P75" s="27">
        <v>1289.229</v>
      </c>
      <c r="Q75" s="27">
        <v>1289.27</v>
      </c>
      <c r="R75" s="27">
        <v>1289.241</v>
      </c>
      <c r="S75" s="27">
        <v>1289.1510000000001</v>
      </c>
      <c r="T75" s="27">
        <v>1289.212</v>
      </c>
      <c r="U75" s="27">
        <v>1289.547</v>
      </c>
      <c r="V75" s="27">
        <v>1289.1189999999999</v>
      </c>
      <c r="W75" s="27">
        <v>1289.4870000000001</v>
      </c>
      <c r="X75" s="27">
        <v>1289.23</v>
      </c>
      <c r="Y75" s="27">
        <v>1289.271</v>
      </c>
      <c r="Z75" s="27">
        <v>1289.4269999999999</v>
      </c>
      <c r="AA75" s="27">
        <v>1289.432</v>
      </c>
      <c r="AB75" s="34">
        <v>1289.451</v>
      </c>
      <c r="AC75" s="34">
        <v>1289.287</v>
      </c>
      <c r="AD75" s="34">
        <v>1289.404</v>
      </c>
      <c r="AE75" s="60">
        <v>1289.259</v>
      </c>
      <c r="AF75" s="60">
        <v>1289.45</v>
      </c>
      <c r="AG75" s="60">
        <v>1289.1849999999999</v>
      </c>
      <c r="AH75" s="60">
        <v>1289.5219999999999</v>
      </c>
      <c r="AI75" s="60">
        <f t="shared" si="71"/>
        <v>1289.5050000000001</v>
      </c>
      <c r="AJ75" s="44"/>
      <c r="AK75" s="27"/>
      <c r="AL75" s="29">
        <f t="shared" si="78"/>
        <v>1.1999999999943611E-2</v>
      </c>
      <c r="AM75" s="29">
        <f t="shared" si="79"/>
        <v>-2.8999999999996362E-2</v>
      </c>
      <c r="AN75" s="29">
        <f t="shared" si="80"/>
        <v>-9.3000000000074579E-2</v>
      </c>
      <c r="AO75" s="29">
        <f t="shared" si="81"/>
        <v>0.11100000000010368</v>
      </c>
      <c r="AP75" s="29">
        <f t="shared" si="88"/>
        <v>0.19699999999988904</v>
      </c>
      <c r="AQ75" s="29">
        <f t="shared" ref="AQ75:AQ81" si="95">AB75-Z75</f>
        <v>2.4000000000114596E-2</v>
      </c>
      <c r="AR75" s="38">
        <f>AC75-AB75</f>
        <v>-0.16399999999998727</v>
      </c>
      <c r="AS75" s="38">
        <f t="shared" si="91"/>
        <v>-2.8000000000020009E-2</v>
      </c>
      <c r="AT75" s="38">
        <f t="shared" si="72"/>
        <v>-7.4000000000069122E-2</v>
      </c>
      <c r="AU75" s="38">
        <f t="shared" si="94"/>
        <v>0.32000000000016371</v>
      </c>
      <c r="AV75" s="108">
        <f t="shared" si="25"/>
        <v>2.760000000000673E-2</v>
      </c>
      <c r="AW75" s="22"/>
      <c r="AX75" s="28"/>
      <c r="AY75" s="29">
        <f t="shared" si="84"/>
        <v>-0.11899999999991451</v>
      </c>
      <c r="AZ75" s="29">
        <f t="shared" si="85"/>
        <v>0.39599999999995816</v>
      </c>
      <c r="BA75" s="29">
        <f t="shared" si="86"/>
        <v>-5.999999999994543E-2</v>
      </c>
      <c r="BB75" s="29">
        <f t="shared" si="87"/>
        <v>-0.21600000000012187</v>
      </c>
      <c r="BC75" s="29">
        <f t="shared" si="65"/>
        <v>0.16100000000005821</v>
      </c>
      <c r="BD75" s="29">
        <f t="shared" si="66"/>
        <v>-1.4000000000010004E-2</v>
      </c>
      <c r="BE75" s="29">
        <f t="shared" si="92"/>
        <v>4.6000000000049113E-2</v>
      </c>
      <c r="BF75" s="29">
        <f t="shared" si="68"/>
        <v>7.1999999999889042E-2</v>
      </c>
      <c r="BG75" s="29">
        <f t="shared" si="69"/>
        <v>5.8999999999969077E-2</v>
      </c>
      <c r="BH75" s="28">
        <f t="shared" si="93"/>
        <v>2.7999999999994744E-2</v>
      </c>
    </row>
    <row r="76" spans="1:60" x14ac:dyDescent="0.25">
      <c r="A76" s="3" t="s">
        <v>94</v>
      </c>
      <c r="B76" s="27">
        <v>2273179.3879999998</v>
      </c>
      <c r="C76" s="27">
        <v>6009947.6619999995</v>
      </c>
      <c r="D76" s="27">
        <v>137.89599999999999</v>
      </c>
      <c r="E76" s="90" t="s">
        <v>95</v>
      </c>
      <c r="F76" s="54">
        <v>2013</v>
      </c>
      <c r="G76" s="27">
        <v>137.98500000000001</v>
      </c>
      <c r="H76" s="54">
        <v>2014</v>
      </c>
      <c r="I76" s="27">
        <v>137.96</v>
      </c>
      <c r="J76" s="54">
        <v>2023</v>
      </c>
      <c r="K76" s="149"/>
      <c r="L76" s="44"/>
      <c r="M76" s="27"/>
      <c r="N76" s="27"/>
      <c r="O76" s="27"/>
      <c r="P76" s="27">
        <v>137.98500000000001</v>
      </c>
      <c r="Q76" s="27">
        <v>137.96</v>
      </c>
      <c r="R76" s="27">
        <v>137.88</v>
      </c>
      <c r="S76" s="27">
        <v>137.886</v>
      </c>
      <c r="T76" s="27">
        <v>137.81399999999999</v>
      </c>
      <c r="U76" s="27">
        <v>137.851</v>
      </c>
      <c r="V76" s="27">
        <v>137.88200000000001</v>
      </c>
      <c r="W76" s="27">
        <v>137.95599999999999</v>
      </c>
      <c r="X76" s="27">
        <v>137.94</v>
      </c>
      <c r="Y76" s="27">
        <v>137.84100000000001</v>
      </c>
      <c r="Z76" s="27">
        <v>137.90100000000001</v>
      </c>
      <c r="AA76" s="27">
        <v>137.881</v>
      </c>
      <c r="AB76" s="34">
        <v>137.999</v>
      </c>
      <c r="AC76" s="34">
        <v>137.816</v>
      </c>
      <c r="AD76" s="34">
        <v>137.792</v>
      </c>
      <c r="AE76" s="60">
        <v>137.71799999999999</v>
      </c>
      <c r="AF76" s="60">
        <v>137.72200000000001</v>
      </c>
      <c r="AG76" s="60">
        <v>137.614</v>
      </c>
      <c r="AH76" s="60">
        <v>137.69900000000001</v>
      </c>
      <c r="AI76" s="60">
        <f t="shared" si="71"/>
        <v>137.89599999999999</v>
      </c>
      <c r="AJ76" s="44"/>
      <c r="AK76" s="27"/>
      <c r="AL76" s="29">
        <f t="shared" ref="AL76:AL83" si="96">R76-P76</f>
        <v>-0.10500000000001819</v>
      </c>
      <c r="AM76" s="29">
        <f t="shared" ref="AM76:AM83" si="97">T76-R76</f>
        <v>-6.6000000000002501E-2</v>
      </c>
      <c r="AN76" s="29">
        <f t="shared" ref="AN76:AN82" si="98">V76-T76</f>
        <v>6.8000000000012051E-2</v>
      </c>
      <c r="AO76" s="29">
        <f t="shared" si="81"/>
        <v>5.7999999999992724E-2</v>
      </c>
      <c r="AP76" s="29">
        <f t="shared" si="88"/>
        <v>-3.8999999999987267E-2</v>
      </c>
      <c r="AQ76" s="29">
        <f t="shared" si="95"/>
        <v>9.7999999999984766E-2</v>
      </c>
      <c r="AR76" s="38">
        <f>AC76-AB76</f>
        <v>-0.18299999999999272</v>
      </c>
      <c r="AS76" s="38">
        <f t="shared" si="91"/>
        <v>-9.8000000000013188E-2</v>
      </c>
      <c r="AT76" s="38">
        <f t="shared" si="72"/>
        <v>-0.10399999999998499</v>
      </c>
      <c r="AU76" s="38">
        <f t="shared" si="94"/>
        <v>0.28199999999998226</v>
      </c>
      <c r="AV76" s="108">
        <f t="shared" si="25"/>
        <v>-8.9000000000027061E-3</v>
      </c>
      <c r="AW76" s="22"/>
      <c r="AX76" s="28"/>
      <c r="AY76" s="29">
        <f t="shared" ref="AY76:AY83" si="99">S76-Q76</f>
        <v>-7.4000000000012278E-2</v>
      </c>
      <c r="AZ76" s="29">
        <f t="shared" ref="AZ76:AZ83" si="100">U76-S76</f>
        <v>-3.4999999999996589E-2</v>
      </c>
      <c r="BA76" s="29">
        <f t="shared" si="86"/>
        <v>0.10499999999998977</v>
      </c>
      <c r="BB76" s="29">
        <f t="shared" ref="BB76:BB83" si="101">Y76-W76</f>
        <v>-0.11499999999998067</v>
      </c>
      <c r="BC76" s="29">
        <f t="shared" si="65"/>
        <v>3.9999999999992042E-2</v>
      </c>
      <c r="BD76" s="29">
        <f t="shared" si="66"/>
        <v>-4.4499999999999318E-2</v>
      </c>
      <c r="BE76" s="29">
        <f t="shared" si="92"/>
        <v>-6.9999999999993179E-2</v>
      </c>
      <c r="BF76" s="29">
        <f t="shared" si="68"/>
        <v>-2.2999999999996135E-2</v>
      </c>
      <c r="BG76" s="29">
        <f t="shared" si="69"/>
        <v>-4.6499999999994657E-2</v>
      </c>
      <c r="BH76" s="28">
        <f t="shared" si="93"/>
        <v>-2.8999999999999519E-2</v>
      </c>
    </row>
    <row r="77" spans="1:60" x14ac:dyDescent="0.25">
      <c r="A77" s="19" t="s">
        <v>96</v>
      </c>
      <c r="B77" s="27">
        <v>2197033.034</v>
      </c>
      <c r="C77" s="27">
        <v>6077365.8959999997</v>
      </c>
      <c r="D77" s="27">
        <v>189.22300000000001</v>
      </c>
      <c r="E77" s="90" t="s">
        <v>97</v>
      </c>
      <c r="F77" s="54">
        <v>2013</v>
      </c>
      <c r="G77" s="27">
        <v>189.93</v>
      </c>
      <c r="H77" s="54">
        <v>2014</v>
      </c>
      <c r="I77" s="30">
        <v>189.77</v>
      </c>
      <c r="J77" s="54">
        <v>2023</v>
      </c>
      <c r="K77" s="149"/>
      <c r="L77" s="44"/>
      <c r="M77" s="27"/>
      <c r="N77" s="27"/>
      <c r="O77" s="27"/>
      <c r="P77" s="27">
        <v>189.93</v>
      </c>
      <c r="Q77" s="30">
        <v>189.77</v>
      </c>
      <c r="R77" s="30">
        <v>189.85409999999999</v>
      </c>
      <c r="S77" s="30">
        <v>189.715</v>
      </c>
      <c r="T77" s="27">
        <v>189.661</v>
      </c>
      <c r="U77" s="27">
        <v>189.63300000000001</v>
      </c>
      <c r="V77" s="27">
        <v>189.52099999999999</v>
      </c>
      <c r="W77" s="27">
        <v>189.57</v>
      </c>
      <c r="X77" s="27">
        <v>189.6</v>
      </c>
      <c r="Y77" s="27">
        <v>189.56700000000001</v>
      </c>
      <c r="Z77" s="27">
        <v>189.53</v>
      </c>
      <c r="AA77" s="27">
        <v>189.54</v>
      </c>
      <c r="AB77" s="34">
        <v>189.511</v>
      </c>
      <c r="AC77" s="34">
        <v>189.465</v>
      </c>
      <c r="AD77" s="34">
        <v>189.30600000000001</v>
      </c>
      <c r="AE77" s="60">
        <v>189.322</v>
      </c>
      <c r="AF77" s="60">
        <v>189.279</v>
      </c>
      <c r="AG77" s="60">
        <v>189.06700000000001</v>
      </c>
      <c r="AH77" s="60">
        <v>189.113</v>
      </c>
      <c r="AI77" s="60">
        <f t="shared" si="71"/>
        <v>189.22300000000001</v>
      </c>
      <c r="AJ77" s="44"/>
      <c r="AK77" s="27"/>
      <c r="AL77" s="29">
        <f t="shared" si="96"/>
        <v>-7.5900000000018508E-2</v>
      </c>
      <c r="AM77" s="29">
        <f t="shared" si="97"/>
        <v>-0.19309999999998695</v>
      </c>
      <c r="AN77" s="29">
        <f t="shared" si="98"/>
        <v>-0.14000000000001478</v>
      </c>
      <c r="AO77" s="29">
        <f t="shared" si="81"/>
        <v>7.9000000000007731E-2</v>
      </c>
      <c r="AP77" s="29">
        <f t="shared" si="88"/>
        <v>-6.9999999999993179E-2</v>
      </c>
      <c r="AQ77" s="29">
        <f t="shared" si="95"/>
        <v>-1.9000000000005457E-2</v>
      </c>
      <c r="AR77" s="38">
        <f>AC77-AB77</f>
        <v>-4.5999999999992269E-2</v>
      </c>
      <c r="AS77" s="38">
        <f t="shared" si="91"/>
        <v>-0.14300000000000068</v>
      </c>
      <c r="AT77" s="38">
        <f t="shared" si="72"/>
        <v>-0.25499999999999545</v>
      </c>
      <c r="AU77" s="38">
        <f t="shared" si="94"/>
        <v>0.15600000000000591</v>
      </c>
      <c r="AV77" s="108">
        <f t="shared" si="25"/>
        <v>-7.0699999999999361E-2</v>
      </c>
      <c r="AW77" s="22"/>
      <c r="AX77" s="28"/>
      <c r="AY77" s="29">
        <f t="shared" si="99"/>
        <v>-5.5000000000006821E-2</v>
      </c>
      <c r="AZ77" s="29">
        <f t="shared" si="100"/>
        <v>-8.1999999999993634E-2</v>
      </c>
      <c r="BA77" s="29">
        <f t="shared" si="86"/>
        <v>-6.3000000000016598E-2</v>
      </c>
      <c r="BB77" s="29">
        <f t="shared" si="101"/>
        <v>-2.9999999999859028E-3</v>
      </c>
      <c r="BC77" s="29">
        <f t="shared" si="65"/>
        <v>-2.7000000000015234E-2</v>
      </c>
      <c r="BD77" s="29">
        <f t="shared" si="66"/>
        <v>-0.11699999999999022</v>
      </c>
      <c r="BE77" s="29">
        <f t="shared" si="92"/>
        <v>-2.7000000000015234E-2</v>
      </c>
      <c r="BF77" s="29">
        <f t="shared" si="68"/>
        <v>-0.16599999999999682</v>
      </c>
      <c r="BG77" s="29">
        <f t="shared" si="69"/>
        <v>-9.6500000000006025E-2</v>
      </c>
      <c r="BH77" s="28">
        <f t="shared" si="93"/>
        <v>-7.3000000000001189E-2</v>
      </c>
    </row>
    <row r="78" spans="1:60" s="25" customFormat="1" x14ac:dyDescent="0.25">
      <c r="A78" s="19" t="s">
        <v>98</v>
      </c>
      <c r="B78" s="27">
        <v>2170094.62</v>
      </c>
      <c r="C78" s="27">
        <v>6102734.7690000003</v>
      </c>
      <c r="D78" s="27">
        <v>241.11799999999999</v>
      </c>
      <c r="E78" s="90" t="s">
        <v>99</v>
      </c>
      <c r="F78" s="54">
        <v>2021</v>
      </c>
      <c r="G78" s="27">
        <v>241.24</v>
      </c>
      <c r="H78" s="54">
        <v>2021</v>
      </c>
      <c r="I78" s="30">
        <v>241.226</v>
      </c>
      <c r="J78" s="54">
        <v>2023</v>
      </c>
      <c r="K78" s="149"/>
      <c r="L78" s="44"/>
      <c r="M78" s="27"/>
      <c r="N78" s="27"/>
      <c r="O78" s="27"/>
      <c r="P78" s="27"/>
      <c r="Q78" s="30"/>
      <c r="R78" s="30"/>
      <c r="S78" s="30"/>
      <c r="T78" s="27"/>
      <c r="U78" s="27"/>
      <c r="V78" s="27"/>
      <c r="W78" s="27"/>
      <c r="X78" s="27"/>
      <c r="Y78" s="27"/>
      <c r="Z78" s="27"/>
      <c r="AA78" s="27"/>
      <c r="AB78" s="34"/>
      <c r="AC78" s="34"/>
      <c r="AD78" s="34">
        <v>241.226</v>
      </c>
      <c r="AE78" s="60">
        <v>241.24</v>
      </c>
      <c r="AF78" s="60">
        <v>241.10499999999999</v>
      </c>
      <c r="AG78" s="60">
        <v>240.994</v>
      </c>
      <c r="AH78" s="60">
        <v>241.131</v>
      </c>
      <c r="AI78" s="60">
        <f t="shared" si="71"/>
        <v>241.11799999999999</v>
      </c>
      <c r="AJ78" s="44"/>
      <c r="AK78" s="27"/>
      <c r="AL78" s="29"/>
      <c r="AM78" s="29"/>
      <c r="AN78" s="29"/>
      <c r="AO78" s="29"/>
      <c r="AP78" s="29"/>
      <c r="AQ78" s="29"/>
      <c r="AR78" s="38"/>
      <c r="AS78" s="38"/>
      <c r="AT78" s="38">
        <f t="shared" si="72"/>
        <v>-0.24600000000000932</v>
      </c>
      <c r="AU78" s="38">
        <f t="shared" si="94"/>
        <v>0.12399999999999523</v>
      </c>
      <c r="AV78" s="108">
        <f t="shared" si="25"/>
        <v>-6.1000000000007049E-2</v>
      </c>
      <c r="AW78" s="22"/>
      <c r="AX78" s="28"/>
      <c r="AY78" s="29"/>
      <c r="AZ78" s="29"/>
      <c r="BA78" s="29"/>
      <c r="BB78" s="29"/>
      <c r="BC78" s="29"/>
      <c r="BD78" s="29"/>
      <c r="BE78" s="29">
        <f t="shared" si="92"/>
        <v>-0.12100000000000932</v>
      </c>
      <c r="BF78" s="29">
        <f t="shared" si="68"/>
        <v>2.6000000000010459E-2</v>
      </c>
      <c r="BG78" s="29">
        <f t="shared" si="69"/>
        <v>-4.7499999999999432E-2</v>
      </c>
      <c r="BH78" s="28">
        <f t="shared" si="93"/>
        <v>-4.7499999999999432E-2</v>
      </c>
    </row>
    <row r="79" spans="1:60" x14ac:dyDescent="0.25">
      <c r="A79" s="3" t="s">
        <v>100</v>
      </c>
      <c r="B79" s="30">
        <v>2143813.34</v>
      </c>
      <c r="C79" s="30">
        <v>6133818.5930000003</v>
      </c>
      <c r="D79" s="30">
        <v>232.797</v>
      </c>
      <c r="E79" s="90" t="s">
        <v>101</v>
      </c>
      <c r="F79" s="54">
        <v>2013</v>
      </c>
      <c r="G79" s="27">
        <v>233.74</v>
      </c>
      <c r="H79" s="54">
        <v>2014</v>
      </c>
      <c r="I79" s="27">
        <v>233.55</v>
      </c>
      <c r="J79" s="54">
        <v>2023</v>
      </c>
      <c r="K79" s="149"/>
      <c r="L79" s="44"/>
      <c r="M79" s="27"/>
      <c r="N79" s="27"/>
      <c r="O79" s="27"/>
      <c r="P79" s="27">
        <v>233.74</v>
      </c>
      <c r="Q79" s="27">
        <v>233.55</v>
      </c>
      <c r="R79" s="27">
        <v>233.613</v>
      </c>
      <c r="S79" s="27">
        <v>233.42699999999999</v>
      </c>
      <c r="T79" s="27">
        <v>233.29900000000001</v>
      </c>
      <c r="U79" s="27">
        <v>233.24799999999999</v>
      </c>
      <c r="V79" s="27">
        <v>233.17500000000001</v>
      </c>
      <c r="W79" s="27">
        <v>233.27600000000001</v>
      </c>
      <c r="X79" s="27">
        <v>233.37</v>
      </c>
      <c r="Y79" s="27">
        <v>233.40299999999999</v>
      </c>
      <c r="Z79" s="27">
        <v>233.27</v>
      </c>
      <c r="AA79" s="27">
        <v>233.33099999999999</v>
      </c>
      <c r="AB79" s="34">
        <v>233.245</v>
      </c>
      <c r="AC79" s="34">
        <v>233.13399999999999</v>
      </c>
      <c r="AD79" s="34">
        <v>232.95500000000001</v>
      </c>
      <c r="AE79" s="60">
        <v>232.947</v>
      </c>
      <c r="AF79" s="60">
        <v>232.76300000000001</v>
      </c>
      <c r="AG79" s="60">
        <v>232.548</v>
      </c>
      <c r="AH79" s="60">
        <v>232.828</v>
      </c>
      <c r="AI79" s="60">
        <f t="shared" si="71"/>
        <v>232.797</v>
      </c>
      <c r="AJ79" s="44"/>
      <c r="AK79" s="27"/>
      <c r="AL79" s="29">
        <f t="shared" si="96"/>
        <v>-0.12700000000000955</v>
      </c>
      <c r="AM79" s="29">
        <f t="shared" si="97"/>
        <v>-0.31399999999999295</v>
      </c>
      <c r="AN79" s="29">
        <f t="shared" si="98"/>
        <v>-0.12399999999999523</v>
      </c>
      <c r="AO79" s="29">
        <f>X79-V79</f>
        <v>0.19499999999999318</v>
      </c>
      <c r="AP79" s="29">
        <f>Z79-X79</f>
        <v>-9.9999999999994316E-2</v>
      </c>
      <c r="AQ79" s="29">
        <f t="shared" si="95"/>
        <v>-2.5000000000005684E-2</v>
      </c>
      <c r="AR79" s="38">
        <f>AC79-AB79</f>
        <v>-0.11100000000001842</v>
      </c>
      <c r="AS79" s="38">
        <f t="shared" ref="AS79:AS83" si="102">AE79-AC79</f>
        <v>-0.1869999999999834</v>
      </c>
      <c r="AT79" s="38">
        <f t="shared" si="72"/>
        <v>-0.39900000000000091</v>
      </c>
      <c r="AU79" s="38">
        <f t="shared" si="94"/>
        <v>0.24899999999999523</v>
      </c>
      <c r="AV79" s="108">
        <f t="shared" si="25"/>
        <v>-9.4300000000001202E-2</v>
      </c>
      <c r="AW79" s="22"/>
      <c r="AX79" s="28"/>
      <c r="AY79" s="29">
        <f t="shared" si="99"/>
        <v>-0.12300000000001887</v>
      </c>
      <c r="AZ79" s="29">
        <f t="shared" si="100"/>
        <v>-0.17900000000000205</v>
      </c>
      <c r="BA79" s="29">
        <f>W79-U79</f>
        <v>2.8000000000020009E-2</v>
      </c>
      <c r="BB79" s="29">
        <f t="shared" si="101"/>
        <v>0.12699999999998113</v>
      </c>
      <c r="BC79" s="29">
        <f>AA79-Y79</f>
        <v>-7.2000000000002728E-2</v>
      </c>
      <c r="BD79" s="29">
        <f>(AD79-AA79)/2</f>
        <v>-0.18799999999998818</v>
      </c>
      <c r="BE79" s="29">
        <f t="shared" si="92"/>
        <v>-0.19200000000000728</v>
      </c>
      <c r="BF79" s="29">
        <f t="shared" si="68"/>
        <v>6.4999999999997726E-2</v>
      </c>
      <c r="BG79" s="29">
        <f t="shared" si="69"/>
        <v>-6.3500000000004775E-2</v>
      </c>
      <c r="BH79" s="28">
        <f t="shared" si="93"/>
        <v>-8.0222222222223152E-2</v>
      </c>
    </row>
    <row r="80" spans="1:60" x14ac:dyDescent="0.25">
      <c r="A80" s="19" t="s">
        <v>102</v>
      </c>
      <c r="B80" s="30">
        <v>2143787.8050000002</v>
      </c>
      <c r="C80" s="30">
        <v>6458478.3099999996</v>
      </c>
      <c r="D80" s="30">
        <v>506.61200000000002</v>
      </c>
      <c r="E80" s="90" t="s">
        <v>103</v>
      </c>
      <c r="F80" s="54">
        <v>2013</v>
      </c>
      <c r="G80" s="27">
        <v>506.64499999999998</v>
      </c>
      <c r="H80" s="54">
        <v>2014</v>
      </c>
      <c r="I80" s="27">
        <v>506.77</v>
      </c>
      <c r="J80" s="54">
        <v>2023</v>
      </c>
      <c r="K80" s="149"/>
      <c r="L80" s="44"/>
      <c r="M80" s="27"/>
      <c r="N80" s="27"/>
      <c r="O80" s="27"/>
      <c r="P80" s="27">
        <v>506.64499999999998</v>
      </c>
      <c r="Q80" s="27">
        <v>506.77</v>
      </c>
      <c r="R80" s="27">
        <v>506.65600000000001</v>
      </c>
      <c r="S80" s="27">
        <v>506.78300000000002</v>
      </c>
      <c r="T80" s="27">
        <v>506.74400000000003</v>
      </c>
      <c r="U80" s="27">
        <v>506.61799999999999</v>
      </c>
      <c r="V80" s="27">
        <v>506.70299999999997</v>
      </c>
      <c r="W80" s="27">
        <v>506.72199999999998</v>
      </c>
      <c r="X80" s="27">
        <v>506.69</v>
      </c>
      <c r="Y80" s="27">
        <v>506.673</v>
      </c>
      <c r="Z80" s="27">
        <v>506.61399999999998</v>
      </c>
      <c r="AA80" s="27">
        <f>502.422+4.2</f>
        <v>506.62200000000001</v>
      </c>
      <c r="AB80" s="34">
        <v>506.59100000000001</v>
      </c>
      <c r="AC80" s="34">
        <v>506.64400000000001</v>
      </c>
      <c r="AD80" s="34">
        <v>506.56200000000001</v>
      </c>
      <c r="AE80" s="60">
        <v>506.67200000000003</v>
      </c>
      <c r="AF80" s="60">
        <v>506.714</v>
      </c>
      <c r="AG80" s="60">
        <v>506.59500000000003</v>
      </c>
      <c r="AH80" s="60">
        <v>506.59500000000003</v>
      </c>
      <c r="AI80" s="60">
        <f t="shared" si="71"/>
        <v>506.61200000000002</v>
      </c>
      <c r="AJ80" s="44"/>
      <c r="AK80" s="27"/>
      <c r="AL80" s="29">
        <f t="shared" si="96"/>
        <v>1.1000000000024102E-2</v>
      </c>
      <c r="AM80" s="29">
        <f t="shared" si="97"/>
        <v>8.8000000000022283E-2</v>
      </c>
      <c r="AN80" s="29">
        <f t="shared" si="98"/>
        <v>-4.100000000005366E-2</v>
      </c>
      <c r="AO80" s="29">
        <f>X80-V80</f>
        <v>-1.2999999999976808E-2</v>
      </c>
      <c r="AP80" s="29">
        <f>Z80-X80</f>
        <v>-7.6000000000021828E-2</v>
      </c>
      <c r="AQ80" s="29">
        <f t="shared" si="95"/>
        <v>-2.2999999999967713E-2</v>
      </c>
      <c r="AR80" s="38">
        <f>AC80-AB80</f>
        <v>5.2999999999997272E-2</v>
      </c>
      <c r="AS80" s="38">
        <f t="shared" si="102"/>
        <v>2.8000000000020009E-2</v>
      </c>
      <c r="AT80" s="38">
        <f t="shared" si="72"/>
        <v>-7.6999999999998181E-2</v>
      </c>
      <c r="AU80" s="38">
        <f t="shared" si="94"/>
        <v>1.6999999999995907E-2</v>
      </c>
      <c r="AV80" s="108">
        <f t="shared" ref="AV80:AV83" si="103">(AI80-G80)/(2023-F80)</f>
        <v>-3.2999999999958618E-3</v>
      </c>
      <c r="AW80" s="22"/>
      <c r="AX80" s="28"/>
      <c r="AY80" s="29">
        <f t="shared" si="99"/>
        <v>1.3000000000033651E-2</v>
      </c>
      <c r="AZ80" s="29">
        <f t="shared" si="100"/>
        <v>-0.16500000000002046</v>
      </c>
      <c r="BA80" s="29">
        <f>W80-U80</f>
        <v>0.10399999999998499</v>
      </c>
      <c r="BB80" s="29">
        <f t="shared" si="101"/>
        <v>-4.8999999999978172E-2</v>
      </c>
      <c r="BC80" s="29">
        <f>AA80-Y80</f>
        <v>-5.0999999999987722E-2</v>
      </c>
      <c r="BD80" s="29">
        <f>(AD80-AA80)/2</f>
        <v>-3.0000000000001137E-2</v>
      </c>
      <c r="BE80" s="29">
        <f t="shared" si="92"/>
        <v>0.15199999999998681</v>
      </c>
      <c r="BF80" s="29">
        <f t="shared" si="68"/>
        <v>-0.11899999999997135</v>
      </c>
      <c r="BG80" s="29">
        <f t="shared" si="69"/>
        <v>1.6500000000007731E-2</v>
      </c>
      <c r="BH80" s="28">
        <f t="shared" si="93"/>
        <v>-1.9444444444439393E-2</v>
      </c>
    </row>
    <row r="81" spans="1:60" x14ac:dyDescent="0.25">
      <c r="A81" s="3" t="s">
        <v>104</v>
      </c>
      <c r="B81" s="30">
        <v>2172507.6979999999</v>
      </c>
      <c r="C81" s="30">
        <v>6031179.3279999997</v>
      </c>
      <c r="D81" s="30">
        <v>704.68200000000002</v>
      </c>
      <c r="E81" s="90" t="s">
        <v>105</v>
      </c>
      <c r="F81" s="54">
        <v>2013</v>
      </c>
      <c r="G81" s="27">
        <v>704.59799999999996</v>
      </c>
      <c r="H81" s="54">
        <v>2014</v>
      </c>
      <c r="I81" s="27">
        <v>704.5</v>
      </c>
      <c r="J81" s="54">
        <v>2023</v>
      </c>
      <c r="K81" s="149"/>
      <c r="L81" s="44"/>
      <c r="M81" s="27"/>
      <c r="N81" s="27"/>
      <c r="O81" s="27"/>
      <c r="P81" s="27">
        <v>704.59799999999996</v>
      </c>
      <c r="Q81" s="27">
        <v>704.5</v>
      </c>
      <c r="R81" s="27">
        <v>704.71</v>
      </c>
      <c r="S81" s="27">
        <v>704.60299999999995</v>
      </c>
      <c r="T81" s="27">
        <v>704.57</v>
      </c>
      <c r="U81" s="27">
        <v>704.61900000000003</v>
      </c>
      <c r="V81" s="27">
        <v>704.56799999999998</v>
      </c>
      <c r="W81" s="27">
        <v>704.61199999999997</v>
      </c>
      <c r="X81" s="27">
        <v>704.59</v>
      </c>
      <c r="Y81" s="27">
        <v>704.66499999999996</v>
      </c>
      <c r="Z81" s="27">
        <v>704.55700000000002</v>
      </c>
      <c r="AA81" s="27">
        <v>704.61699999999996</v>
      </c>
      <c r="AB81" s="34">
        <v>704.53599999999994</v>
      </c>
      <c r="AC81" s="34">
        <v>704.63400000000001</v>
      </c>
      <c r="AD81" s="34">
        <v>704.47199999999998</v>
      </c>
      <c r="AE81" s="60">
        <v>704.52</v>
      </c>
      <c r="AF81" s="60">
        <v>704.59500000000003</v>
      </c>
      <c r="AG81" s="60">
        <v>704.54700000000003</v>
      </c>
      <c r="AH81" s="60">
        <v>704.58900000000006</v>
      </c>
      <c r="AI81" s="60">
        <f t="shared" si="71"/>
        <v>704.68200000000002</v>
      </c>
      <c r="AJ81" s="44"/>
      <c r="AK81" s="27"/>
      <c r="AL81" s="29">
        <f t="shared" si="96"/>
        <v>0.11200000000008004</v>
      </c>
      <c r="AM81" s="29">
        <f t="shared" si="97"/>
        <v>-0.13999999999998636</v>
      </c>
      <c r="AN81" s="29">
        <f t="shared" si="98"/>
        <v>-2.0000000000663931E-3</v>
      </c>
      <c r="AO81" s="29">
        <f>X81-V81</f>
        <v>2.2000000000048203E-2</v>
      </c>
      <c r="AP81" s="29">
        <f>Z81-X81</f>
        <v>-3.3000000000015461E-2</v>
      </c>
      <c r="AQ81" s="29">
        <f t="shared" si="95"/>
        <v>-2.100000000007185E-2</v>
      </c>
      <c r="AR81" s="38">
        <f>AC81-AB81</f>
        <v>9.8000000000070031E-2</v>
      </c>
      <c r="AS81" s="38">
        <f t="shared" si="102"/>
        <v>-0.11400000000003274</v>
      </c>
      <c r="AT81" s="38">
        <f t="shared" si="72"/>
        <v>2.7000000000043656E-2</v>
      </c>
      <c r="AU81" s="38">
        <f t="shared" si="94"/>
        <v>0.13499999999999091</v>
      </c>
      <c r="AV81" s="108">
        <f t="shared" si="103"/>
        <v>8.4000000000060034E-3</v>
      </c>
      <c r="AW81" s="22"/>
      <c r="AX81" s="28"/>
      <c r="AY81" s="29">
        <f t="shared" si="99"/>
        <v>0.1029999999999518</v>
      </c>
      <c r="AZ81" s="29">
        <f t="shared" si="100"/>
        <v>1.6000000000076398E-2</v>
      </c>
      <c r="BA81" s="29">
        <f>W81-U81</f>
        <v>-7.0000000000618456E-3</v>
      </c>
      <c r="BB81" s="29">
        <f t="shared" si="101"/>
        <v>5.2999999999997272E-2</v>
      </c>
      <c r="BC81" s="29">
        <f>AA81-Y81</f>
        <v>-4.8000000000001819E-2</v>
      </c>
      <c r="BD81" s="29">
        <f>(AD81-AA81)/2</f>
        <v>-7.2499999999990905E-2</v>
      </c>
      <c r="BE81" s="29">
        <f t="shared" si="92"/>
        <v>0.12300000000004729</v>
      </c>
      <c r="BF81" s="29">
        <f t="shared" si="68"/>
        <v>-5.9999999999718057E-3</v>
      </c>
      <c r="BG81" s="29">
        <f t="shared" si="69"/>
        <v>5.8500000000037744E-2</v>
      </c>
      <c r="BH81" s="28">
        <f t="shared" si="93"/>
        <v>9.8888888888950532E-3</v>
      </c>
    </row>
    <row r="82" spans="1:60" x14ac:dyDescent="0.25">
      <c r="A82" s="19" t="s">
        <v>106</v>
      </c>
      <c r="B82" s="30">
        <v>2082514.835</v>
      </c>
      <c r="C82" s="30">
        <v>6102978.7460000003</v>
      </c>
      <c r="D82" s="30">
        <v>1103.461</v>
      </c>
      <c r="E82" s="90" t="s">
        <v>107</v>
      </c>
      <c r="F82" s="54">
        <v>2013</v>
      </c>
      <c r="G82" s="27">
        <v>1103.6020000000001</v>
      </c>
      <c r="H82" s="54">
        <v>2014</v>
      </c>
      <c r="I82" s="27">
        <v>1103.5</v>
      </c>
      <c r="J82" s="54">
        <v>2023</v>
      </c>
      <c r="K82" s="149"/>
      <c r="L82" s="44"/>
      <c r="M82" s="27"/>
      <c r="N82" s="27"/>
      <c r="O82" s="27"/>
      <c r="P82" s="27">
        <v>1103.6020000000001</v>
      </c>
      <c r="Q82" s="27">
        <v>1103.5</v>
      </c>
      <c r="R82" s="27">
        <v>1103.529</v>
      </c>
      <c r="S82" s="27">
        <v>1103.5989999999999</v>
      </c>
      <c r="T82" s="27">
        <v>1103.5840000000001</v>
      </c>
      <c r="U82" s="27">
        <v>1103.5920000000001</v>
      </c>
      <c r="V82" s="27">
        <v>1103.624</v>
      </c>
      <c r="W82" s="27">
        <v>1103.6289999999999</v>
      </c>
      <c r="X82" s="27">
        <v>1103.55</v>
      </c>
      <c r="Y82" s="27">
        <v>1103.694</v>
      </c>
      <c r="Z82" s="27">
        <v>1103.5820000000001</v>
      </c>
      <c r="AA82" s="27">
        <v>1103.548</v>
      </c>
      <c r="AB82" s="34"/>
      <c r="AC82" s="34">
        <v>1103.5550000000001</v>
      </c>
      <c r="AD82" s="34">
        <v>1103.5909999999999</v>
      </c>
      <c r="AE82" s="60">
        <v>1103.6110000000001</v>
      </c>
      <c r="AF82" s="60">
        <v>1103.5550000000001</v>
      </c>
      <c r="AG82" s="60">
        <v>1103.5070000000001</v>
      </c>
      <c r="AH82" s="60">
        <v>1103.5830000000001</v>
      </c>
      <c r="AI82" s="60">
        <f t="shared" si="71"/>
        <v>1103.461</v>
      </c>
      <c r="AJ82" s="44"/>
      <c r="AK82" s="27"/>
      <c r="AL82" s="29">
        <f t="shared" si="96"/>
        <v>-7.3000000000092768E-2</v>
      </c>
      <c r="AM82" s="29">
        <f t="shared" si="97"/>
        <v>5.5000000000063665E-2</v>
      </c>
      <c r="AN82" s="29">
        <f t="shared" si="98"/>
        <v>3.999999999996362E-2</v>
      </c>
      <c r="AO82" s="29">
        <f>X82-V82</f>
        <v>-7.4000000000069122E-2</v>
      </c>
      <c r="AP82" s="29">
        <f>Z82-X82</f>
        <v>3.2000000000152795E-2</v>
      </c>
      <c r="AQ82" s="29"/>
      <c r="AR82" s="38"/>
      <c r="AS82" s="38">
        <f t="shared" si="102"/>
        <v>5.6000000000040018E-2</v>
      </c>
      <c r="AT82" s="38">
        <f t="shared" si="72"/>
        <v>-0.10400000000004184</v>
      </c>
      <c r="AU82" s="38">
        <f t="shared" si="94"/>
        <v>-4.6000000000049113E-2</v>
      </c>
      <c r="AV82" s="108">
        <f t="shared" si="103"/>
        <v>-1.4100000000007639E-2</v>
      </c>
      <c r="AW82" s="22"/>
      <c r="AX82" s="28"/>
      <c r="AY82" s="29">
        <f t="shared" si="99"/>
        <v>9.8999999999932697E-2</v>
      </c>
      <c r="AZ82" s="29">
        <f t="shared" si="100"/>
        <v>-6.999999999834472E-3</v>
      </c>
      <c r="BA82" s="29">
        <f>W82-U82</f>
        <v>3.6999999999807187E-2</v>
      </c>
      <c r="BB82" s="29">
        <f t="shared" si="101"/>
        <v>6.500000000005457E-2</v>
      </c>
      <c r="BC82" s="29">
        <f>AA82-Y82</f>
        <v>-0.14599999999995816</v>
      </c>
      <c r="BD82" s="29">
        <f>(AD82-AA82)/2</f>
        <v>2.149999999994634E-2</v>
      </c>
      <c r="BE82" s="29">
        <f t="shared" si="92"/>
        <v>-3.5999999999830834E-2</v>
      </c>
      <c r="BF82" s="29">
        <f t="shared" si="68"/>
        <v>2.8000000000020009E-2</v>
      </c>
      <c r="BG82" s="29">
        <f t="shared" si="69"/>
        <v>-3.9999999999054126E-3</v>
      </c>
      <c r="BH82" s="28">
        <f t="shared" si="93"/>
        <v>9.2222222222315201E-3</v>
      </c>
    </row>
    <row r="83" spans="1:60" s="37" customFormat="1" x14ac:dyDescent="0.25">
      <c r="A83" s="33" t="s">
        <v>108</v>
      </c>
      <c r="B83" s="30">
        <v>2343309.1570000001</v>
      </c>
      <c r="C83" s="30">
        <v>5956829.3890000004</v>
      </c>
      <c r="D83" s="30">
        <v>183.422</v>
      </c>
      <c r="E83" s="90" t="s">
        <v>109</v>
      </c>
      <c r="F83" s="54">
        <v>2013</v>
      </c>
      <c r="G83" s="34">
        <v>183.238</v>
      </c>
      <c r="H83" s="54">
        <v>2014</v>
      </c>
      <c r="I83" s="34">
        <v>183.47</v>
      </c>
      <c r="J83" s="54">
        <v>2023</v>
      </c>
      <c r="K83" s="150"/>
      <c r="L83" s="47"/>
      <c r="M83" s="34"/>
      <c r="N83" s="34"/>
      <c r="O83" s="34"/>
      <c r="P83" s="34">
        <v>183.238</v>
      </c>
      <c r="Q83" s="34">
        <v>183.47</v>
      </c>
      <c r="R83" s="34">
        <v>183.31700000000001</v>
      </c>
      <c r="S83" s="34">
        <v>183.33799999999999</v>
      </c>
      <c r="T83" s="34">
        <v>183.27199999999999</v>
      </c>
      <c r="U83" s="34">
        <v>183.27600000000001</v>
      </c>
      <c r="V83" s="34"/>
      <c r="W83" s="27">
        <v>183.386</v>
      </c>
      <c r="X83" s="27">
        <v>183.31</v>
      </c>
      <c r="Y83" s="27">
        <v>183.14400000000001</v>
      </c>
      <c r="Z83" s="27">
        <v>183.291</v>
      </c>
      <c r="AA83" s="27">
        <v>183.238</v>
      </c>
      <c r="AB83" s="34">
        <v>183.35400000000001</v>
      </c>
      <c r="AC83" s="34">
        <v>183.19200000000001</v>
      </c>
      <c r="AD83" s="34">
        <v>183.16800000000001</v>
      </c>
      <c r="AE83" s="60">
        <v>183.15799999999999</v>
      </c>
      <c r="AF83" s="60">
        <v>183.21700000000001</v>
      </c>
      <c r="AG83" s="60">
        <v>183.13900000000001</v>
      </c>
      <c r="AH83" s="60">
        <v>183.191</v>
      </c>
      <c r="AI83" s="60">
        <f t="shared" si="71"/>
        <v>183.422</v>
      </c>
      <c r="AJ83" s="47"/>
      <c r="AK83" s="34"/>
      <c r="AL83" s="38">
        <f t="shared" si="96"/>
        <v>7.9000000000007731E-2</v>
      </c>
      <c r="AM83" s="38">
        <f t="shared" si="97"/>
        <v>-4.5000000000015916E-2</v>
      </c>
      <c r="AN83" s="38"/>
      <c r="AO83" s="29" t="s">
        <v>21</v>
      </c>
      <c r="AP83" s="29">
        <f>Z83-X83</f>
        <v>-1.9000000000005457E-2</v>
      </c>
      <c r="AQ83" s="29">
        <f>AB83-Z83</f>
        <v>6.3000000000016598E-2</v>
      </c>
      <c r="AR83" s="38">
        <f>AC83-AB83</f>
        <v>-0.16200000000000614</v>
      </c>
      <c r="AS83" s="38">
        <f t="shared" si="102"/>
        <v>-3.4000000000020236E-2</v>
      </c>
      <c r="AT83" s="38">
        <f t="shared" si="72"/>
        <v>-1.8999999999977035E-2</v>
      </c>
      <c r="AU83" s="38">
        <f t="shared" si="94"/>
        <v>0.28299999999998704</v>
      </c>
      <c r="AV83" s="108">
        <f t="shared" si="103"/>
        <v>1.839999999999975E-2</v>
      </c>
      <c r="AW83" s="39"/>
      <c r="AX83" s="40"/>
      <c r="AY83" s="38">
        <f t="shared" si="99"/>
        <v>-0.132000000000005</v>
      </c>
      <c r="AZ83" s="38">
        <f t="shared" si="100"/>
        <v>-6.1999999999983402E-2</v>
      </c>
      <c r="BA83" s="29">
        <f>W83-U83</f>
        <v>0.10999999999998522</v>
      </c>
      <c r="BB83" s="29">
        <f t="shared" si="101"/>
        <v>-0.24199999999999022</v>
      </c>
      <c r="BC83" s="29">
        <f>AA83-Y83</f>
        <v>9.3999999999994088E-2</v>
      </c>
      <c r="BD83" s="29">
        <f>(AD83-AA83)/2</f>
        <v>-3.4999999999996589E-2</v>
      </c>
      <c r="BE83" s="29">
        <f t="shared" si="92"/>
        <v>4.9000000000006594E-2</v>
      </c>
      <c r="BF83" s="29">
        <f t="shared" si="68"/>
        <v>-2.6000000000010459E-2</v>
      </c>
      <c r="BG83" s="29">
        <f t="shared" si="69"/>
        <v>1.1499999999998067E-2</v>
      </c>
      <c r="BH83" s="28">
        <f t="shared" si="93"/>
        <v>-3.0999999999999597E-2</v>
      </c>
    </row>
    <row r="84" spans="1:60" x14ac:dyDescent="0.25">
      <c r="B84" s="25"/>
      <c r="C84" s="25"/>
      <c r="D84" s="25"/>
      <c r="L84" s="25"/>
      <c r="M84" s="25"/>
      <c r="N84" s="25"/>
      <c r="O84" s="25"/>
      <c r="P84" s="25"/>
      <c r="Q84" s="25"/>
      <c r="R84" s="25"/>
      <c r="S84" s="25"/>
      <c r="T84" s="25"/>
      <c r="AJ84" s="25"/>
      <c r="AK84" s="25"/>
      <c r="AL84" s="25"/>
      <c r="AP84" s="25"/>
      <c r="AW84" s="25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</row>
    <row r="85" spans="1:60" x14ac:dyDescent="0.25">
      <c r="A85" s="6">
        <v>-0.15</v>
      </c>
      <c r="B85" s="25" t="s">
        <v>110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AJ85" s="25"/>
      <c r="AK85" s="25"/>
      <c r="AL85" s="25"/>
      <c r="AP85" s="25"/>
      <c r="AW85" s="25"/>
      <c r="AX85" s="25"/>
      <c r="AY85" s="25"/>
      <c r="BA85" s="25"/>
    </row>
    <row r="87" spans="1:60" x14ac:dyDescent="0.25">
      <c r="A87" s="10"/>
      <c r="B87" s="25" t="s">
        <v>111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AJ87" s="25"/>
      <c r="AK87" s="25"/>
      <c r="AL87" s="25"/>
      <c r="AP87" s="25"/>
      <c r="AW87" s="25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</row>
    <row r="88" spans="1:60" x14ac:dyDescent="0.25">
      <c r="B88" s="32" t="s">
        <v>112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AJ88" s="25"/>
      <c r="AK88" s="25"/>
      <c r="AL88" s="25"/>
      <c r="AP88" s="25"/>
      <c r="AW88" s="25"/>
      <c r="AX88" s="25"/>
      <c r="AY88" s="25"/>
      <c r="BA88" s="25"/>
    </row>
    <row r="89" spans="1:60" x14ac:dyDescent="0.25">
      <c r="B89" s="32" t="s">
        <v>113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AJ89" s="25"/>
      <c r="AK89" s="25"/>
      <c r="AL89" s="25"/>
      <c r="AP89" s="25"/>
      <c r="AW89" s="25"/>
      <c r="AX89" s="25"/>
      <c r="AY89" s="25"/>
      <c r="BA89" s="25"/>
    </row>
    <row r="90" spans="1:60" x14ac:dyDescent="0.25">
      <c r="B90" s="32" t="s">
        <v>114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AJ90" s="25"/>
      <c r="AK90" s="25"/>
      <c r="AL90" s="25"/>
      <c r="AP90" s="25"/>
      <c r="AW90" s="25"/>
      <c r="AX90" s="25"/>
      <c r="AY90" s="25"/>
      <c r="BA90" s="25"/>
    </row>
    <row r="91" spans="1:60" x14ac:dyDescent="0.25">
      <c r="B91" s="32" t="s">
        <v>115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AJ91" s="25"/>
      <c r="AK91" s="25"/>
      <c r="AL91" s="25"/>
      <c r="AP91" s="25"/>
      <c r="AW91" s="25"/>
      <c r="AX91" s="25"/>
      <c r="AY91" s="25"/>
      <c r="BA91" s="25"/>
    </row>
    <row r="92" spans="1:60" s="17" customFormat="1" x14ac:dyDescent="0.25">
      <c r="A92" s="2"/>
      <c r="B92" s="32" t="s">
        <v>116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37"/>
      <c r="AC92" s="37"/>
      <c r="AD92" s="37"/>
      <c r="AE92" s="37"/>
      <c r="AF92" s="37"/>
      <c r="AG92" s="37"/>
      <c r="AH92" s="37"/>
      <c r="AI92" s="37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4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</row>
    <row r="93" spans="1:60" x14ac:dyDescent="0.25">
      <c r="B93" s="32" t="s">
        <v>21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AJ93" s="25"/>
      <c r="AK93" s="25"/>
      <c r="AL93" s="25"/>
      <c r="AP93" s="25"/>
      <c r="AW93" s="25"/>
      <c r="AX93" s="25"/>
      <c r="AY93" s="25"/>
      <c r="BA93" s="25"/>
    </row>
    <row r="94" spans="1:60" x14ac:dyDescent="0.25">
      <c r="B94" s="4"/>
      <c r="C94" s="25"/>
      <c r="D94" s="25"/>
      <c r="L94" s="25"/>
      <c r="M94" s="25"/>
      <c r="N94" s="25"/>
      <c r="O94" s="25"/>
      <c r="P94" s="25"/>
      <c r="Q94" s="25"/>
      <c r="R94" s="25"/>
      <c r="S94" s="25"/>
      <c r="T94" s="25"/>
      <c r="AJ94" s="25"/>
      <c r="AK94" s="25"/>
      <c r="AL94" s="25"/>
      <c r="AP94" s="25"/>
      <c r="AW94" s="25"/>
      <c r="AX94" s="25"/>
      <c r="AY94" s="25"/>
      <c r="BA94" s="25"/>
    </row>
    <row r="95" spans="1:60" x14ac:dyDescent="0.25">
      <c r="A95" s="5"/>
      <c r="B95" s="32"/>
      <c r="C95" s="25"/>
      <c r="D95" s="25"/>
      <c r="L95" s="25"/>
      <c r="M95" s="25"/>
      <c r="N95" s="25"/>
      <c r="O95" s="25"/>
      <c r="P95" s="25"/>
      <c r="Q95" s="25"/>
      <c r="R95" s="25"/>
      <c r="S95" s="25"/>
      <c r="T95" s="25"/>
      <c r="AJ95" s="25"/>
      <c r="AK95" s="25"/>
      <c r="AL95" s="25"/>
      <c r="AP95" s="25"/>
      <c r="AW95" s="25"/>
      <c r="AX95" s="25"/>
      <c r="AY95" s="25"/>
      <c r="BA95" s="25"/>
    </row>
    <row r="96" spans="1:60" x14ac:dyDescent="0.25">
      <c r="B96" s="25"/>
      <c r="C96" s="25"/>
      <c r="D96" s="25"/>
      <c r="L96" s="25"/>
      <c r="M96" s="25"/>
      <c r="N96" s="25"/>
      <c r="O96" s="25"/>
      <c r="P96" s="25"/>
      <c r="Q96" s="25"/>
      <c r="R96" s="25"/>
      <c r="S96" s="25"/>
      <c r="T96" s="25"/>
      <c r="AJ96" s="25"/>
      <c r="AK96" s="25"/>
      <c r="AL96" s="25"/>
      <c r="AP96" s="25"/>
      <c r="AW96" s="25"/>
      <c r="AX96" s="25"/>
      <c r="AY96" s="25"/>
      <c r="BA96" s="25"/>
    </row>
    <row r="97" spans="1:42" x14ac:dyDescent="0.25">
      <c r="A97" s="41"/>
      <c r="B97" s="32" t="s">
        <v>117</v>
      </c>
      <c r="C97" s="25"/>
      <c r="D97" s="25"/>
      <c r="L97" s="25"/>
      <c r="M97" s="25"/>
      <c r="N97" s="25"/>
      <c r="O97" s="25"/>
      <c r="P97" s="25"/>
      <c r="Q97" s="25"/>
      <c r="R97" s="25"/>
      <c r="S97" s="25"/>
      <c r="T97" s="25"/>
      <c r="AJ97" s="25"/>
      <c r="AK97" s="25"/>
      <c r="AL97" s="25"/>
      <c r="AP97" s="25"/>
    </row>
    <row r="99" spans="1:42" x14ac:dyDescent="0.25">
      <c r="A99" s="57"/>
      <c r="B99" s="1" t="s">
        <v>134</v>
      </c>
      <c r="C99" s="25"/>
      <c r="D99" s="25"/>
      <c r="L99" s="25"/>
      <c r="M99" s="25"/>
      <c r="N99" s="25"/>
      <c r="O99" s="25"/>
      <c r="P99" s="25"/>
      <c r="Q99" s="25"/>
      <c r="R99" s="25"/>
      <c r="S99" s="25"/>
      <c r="T99" s="25"/>
      <c r="AJ99" s="25"/>
      <c r="AK99" s="25"/>
      <c r="AL99" s="25"/>
      <c r="AP99" s="25"/>
    </row>
    <row r="101" spans="1:42" x14ac:dyDescent="0.25">
      <c r="A101" s="107" t="s">
        <v>118</v>
      </c>
      <c r="B101" s="25" t="s">
        <v>119</v>
      </c>
      <c r="C101" s="25"/>
      <c r="D101" s="25"/>
      <c r="L101" s="25"/>
      <c r="M101" s="25"/>
      <c r="N101" s="25"/>
      <c r="O101" s="25"/>
      <c r="P101" s="25"/>
      <c r="Q101" s="25"/>
      <c r="R101" s="25"/>
      <c r="S101" s="25"/>
      <c r="T101" s="25"/>
      <c r="AJ101" s="25"/>
      <c r="AK101" s="25"/>
      <c r="AL101" s="25"/>
      <c r="AP101" s="25"/>
    </row>
  </sheetData>
  <mergeCells count="17">
    <mergeCell ref="B25:D25"/>
    <mergeCell ref="B33:D33"/>
    <mergeCell ref="B28:D28"/>
    <mergeCell ref="B18:D18"/>
    <mergeCell ref="K6:K83"/>
    <mergeCell ref="A1:AX1"/>
    <mergeCell ref="A2:AX2"/>
    <mergeCell ref="B3:D3"/>
    <mergeCell ref="B4:C4"/>
    <mergeCell ref="AW3:BH3"/>
    <mergeCell ref="F3:F5"/>
    <mergeCell ref="G3:G5"/>
    <mergeCell ref="H3:H5"/>
    <mergeCell ref="I3:I5"/>
    <mergeCell ref="J3:J5"/>
    <mergeCell ref="L3:AH3"/>
    <mergeCell ref="AJ3:AV3"/>
  </mergeCells>
  <conditionalFormatting sqref="AS1:AU2 AS84:AU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93"/>
  <sheetViews>
    <sheetView zoomScaleNormal="100" workbookViewId="0">
      <pane xSplit="4" ySplit="2" topLeftCell="AM37" activePane="bottomRight" state="frozen"/>
      <selection pane="topRight" activeCell="E1" sqref="E1"/>
      <selection pane="bottomLeft" activeCell="A3" sqref="A3"/>
      <selection pane="bottomRight" activeCell="AU6" sqref="AU6:AV83"/>
    </sheetView>
  </sheetViews>
  <sheetFormatPr defaultColWidth="9.140625" defaultRowHeight="15" x14ac:dyDescent="0.25"/>
  <cols>
    <col min="1" max="1" width="9.140625" style="62"/>
    <col min="2" max="3" width="15.7109375" style="61" customWidth="1"/>
    <col min="4" max="4" width="9" style="61" customWidth="1"/>
    <col min="5" max="6" width="11.7109375" style="63" hidden="1" customWidth="1"/>
    <col min="7" max="7" width="15.28515625" style="63" hidden="1" customWidth="1"/>
    <col min="8" max="8" width="11.28515625" style="63" hidden="1" customWidth="1"/>
    <col min="9" max="9" width="15.42578125" style="63" hidden="1" customWidth="1"/>
    <col min="10" max="10" width="7.42578125" style="63" hidden="1" customWidth="1"/>
    <col min="11" max="11" width="19.42578125" style="61" customWidth="1"/>
    <col min="12" max="12" width="11.5703125" style="61" bestFit="1" customWidth="1"/>
    <col min="13" max="13" width="11.28515625" style="61" customWidth="1"/>
    <col min="14" max="14" width="11.5703125" style="61" bestFit="1" customWidth="1"/>
    <col min="15" max="16" width="10.7109375" style="61" customWidth="1"/>
    <col min="17" max="17" width="11.42578125" style="61" customWidth="1"/>
    <col min="18" max="18" width="11.5703125" style="61" bestFit="1" customWidth="1"/>
    <col min="19" max="19" width="11.7109375" style="61" customWidth="1"/>
    <col min="20" max="20" width="11.5703125" style="61" bestFit="1" customWidth="1"/>
    <col min="21" max="21" width="11.28515625" style="61" customWidth="1"/>
    <col min="22" max="22" width="11.5703125" style="61" bestFit="1" customWidth="1"/>
    <col min="23" max="24" width="10.7109375" style="61" customWidth="1"/>
    <col min="25" max="25" width="11.28515625" style="61" customWidth="1"/>
    <col min="26" max="26" width="11.5703125" style="61" bestFit="1" customWidth="1"/>
    <col min="27" max="27" width="10.7109375" style="61" customWidth="1"/>
    <col min="28" max="28" width="11.42578125" style="61" customWidth="1"/>
    <col min="29" max="29" width="11.5703125" style="61" bestFit="1" customWidth="1"/>
    <col min="30" max="45" width="10.7109375" style="61" customWidth="1"/>
    <col min="46" max="47" width="10.7109375" style="112" customWidth="1"/>
    <col min="48" max="48" width="10.7109375" style="4" customWidth="1"/>
    <col min="49" max="56" width="10.7109375" style="61" customWidth="1"/>
    <col min="57" max="58" width="11.28515625" style="61" customWidth="1"/>
    <col min="59" max="59" width="14" style="62" customWidth="1"/>
    <col min="60" max="16384" width="9.140625" style="61"/>
  </cols>
  <sheetData>
    <row r="1" spans="1:60" ht="18.75" x14ac:dyDescent="0.3">
      <c r="A1" s="151" t="s">
        <v>120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75"/>
      <c r="AY1" s="75"/>
      <c r="AZ1" s="75"/>
      <c r="BA1" s="75"/>
      <c r="BB1" s="75"/>
      <c r="BC1" s="75"/>
      <c r="BD1" s="75"/>
      <c r="BE1" s="75"/>
      <c r="BF1" s="75"/>
      <c r="BG1" s="76"/>
      <c r="BH1" s="76"/>
    </row>
    <row r="2" spans="1:60" s="104" customFormat="1" ht="24" customHeight="1" x14ac:dyDescent="0.25">
      <c r="A2" s="152" t="s">
        <v>121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02"/>
      <c r="AY2" s="102"/>
      <c r="AZ2" s="102"/>
      <c r="BA2" s="102"/>
      <c r="BB2" s="102"/>
      <c r="BC2" s="102"/>
      <c r="BD2" s="102"/>
      <c r="BE2" s="102"/>
      <c r="BF2" s="102"/>
      <c r="BG2" s="103"/>
      <c r="BH2" s="103"/>
    </row>
    <row r="3" spans="1:60" x14ac:dyDescent="0.25">
      <c r="A3" s="77"/>
      <c r="B3" s="155" t="s">
        <v>133</v>
      </c>
      <c r="C3" s="156"/>
      <c r="D3" s="157"/>
      <c r="E3" s="78"/>
      <c r="F3" s="158" t="s">
        <v>0</v>
      </c>
      <c r="G3" s="158" t="s">
        <v>1</v>
      </c>
      <c r="H3" s="158" t="s">
        <v>2</v>
      </c>
      <c r="I3" s="158" t="s">
        <v>3</v>
      </c>
      <c r="J3" s="158" t="s">
        <v>4</v>
      </c>
      <c r="K3" s="162" t="s">
        <v>5</v>
      </c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17"/>
      <c r="AI3" s="122"/>
      <c r="AJ3" s="159" t="s">
        <v>6</v>
      </c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1"/>
      <c r="AW3" s="159" t="s">
        <v>7</v>
      </c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1"/>
    </row>
    <row r="4" spans="1:60" ht="30" x14ac:dyDescent="0.25">
      <c r="A4" s="79"/>
      <c r="B4" s="153" t="s">
        <v>8</v>
      </c>
      <c r="C4" s="154"/>
      <c r="D4" s="80" t="s">
        <v>9</v>
      </c>
      <c r="E4" s="78"/>
      <c r="F4" s="158"/>
      <c r="G4" s="158"/>
      <c r="H4" s="158"/>
      <c r="I4" s="158"/>
      <c r="J4" s="158"/>
      <c r="K4" s="123" t="s">
        <v>10</v>
      </c>
      <c r="L4" s="124">
        <v>40878</v>
      </c>
      <c r="M4" s="125">
        <v>41091</v>
      </c>
      <c r="N4" s="125">
        <v>41244</v>
      </c>
      <c r="O4" s="125">
        <v>41456</v>
      </c>
      <c r="P4" s="125">
        <v>41609</v>
      </c>
      <c r="Q4" s="125">
        <v>41821</v>
      </c>
      <c r="R4" s="125">
        <v>41974</v>
      </c>
      <c r="S4" s="125">
        <v>42186</v>
      </c>
      <c r="T4" s="125">
        <v>42339</v>
      </c>
      <c r="U4" s="125">
        <v>42567</v>
      </c>
      <c r="V4" s="125">
        <v>42716</v>
      </c>
      <c r="W4" s="125">
        <v>42917</v>
      </c>
      <c r="X4" s="125">
        <v>43070</v>
      </c>
      <c r="Y4" s="125">
        <v>43282</v>
      </c>
      <c r="Z4" s="125">
        <v>43435</v>
      </c>
      <c r="AA4" s="125">
        <v>43647</v>
      </c>
      <c r="AB4" s="125">
        <v>43800</v>
      </c>
      <c r="AC4" s="125">
        <v>44166</v>
      </c>
      <c r="AD4" s="125">
        <v>44398</v>
      </c>
      <c r="AE4" s="125">
        <v>44531</v>
      </c>
      <c r="AF4" s="125">
        <v>44764</v>
      </c>
      <c r="AG4" s="125">
        <v>44917</v>
      </c>
      <c r="AH4" s="125">
        <v>45108</v>
      </c>
      <c r="AI4" s="125">
        <v>45261</v>
      </c>
      <c r="AJ4" s="81">
        <v>40878</v>
      </c>
      <c r="AK4" s="81">
        <v>41244</v>
      </c>
      <c r="AL4" s="82">
        <v>41609</v>
      </c>
      <c r="AM4" s="82">
        <v>41974</v>
      </c>
      <c r="AN4" s="82">
        <v>42339</v>
      </c>
      <c r="AO4" s="82">
        <v>42705</v>
      </c>
      <c r="AP4" s="82">
        <v>43070</v>
      </c>
      <c r="AQ4" s="82">
        <v>43435</v>
      </c>
      <c r="AR4" s="82">
        <v>43800</v>
      </c>
      <c r="AS4" s="82">
        <v>44166</v>
      </c>
      <c r="AT4" s="109">
        <v>44531</v>
      </c>
      <c r="AU4" s="109">
        <v>44896</v>
      </c>
      <c r="AV4" s="50">
        <v>40878</v>
      </c>
      <c r="AW4" s="83">
        <v>41091</v>
      </c>
      <c r="AX4" s="83">
        <v>41456</v>
      </c>
      <c r="AY4" s="83">
        <v>41821</v>
      </c>
      <c r="AZ4" s="83">
        <v>42186</v>
      </c>
      <c r="BA4" s="83">
        <v>42552</v>
      </c>
      <c r="BB4" s="83">
        <v>42917</v>
      </c>
      <c r="BC4" s="83">
        <v>43299</v>
      </c>
      <c r="BD4" s="83">
        <v>43647</v>
      </c>
      <c r="BE4" s="82">
        <v>44378</v>
      </c>
      <c r="BF4" s="82">
        <v>44743</v>
      </c>
      <c r="BG4" s="82">
        <v>44378</v>
      </c>
      <c r="BH4" s="83">
        <v>41091</v>
      </c>
    </row>
    <row r="5" spans="1:60" ht="30" x14ac:dyDescent="0.25">
      <c r="A5" s="116" t="s">
        <v>11</v>
      </c>
      <c r="B5" s="66" t="s">
        <v>12</v>
      </c>
      <c r="C5" s="66" t="s">
        <v>13</v>
      </c>
      <c r="D5" s="66" t="s">
        <v>14</v>
      </c>
      <c r="E5" s="65" t="s">
        <v>15</v>
      </c>
      <c r="F5" s="158"/>
      <c r="G5" s="158"/>
      <c r="H5" s="158"/>
      <c r="I5" s="158"/>
      <c r="J5" s="158"/>
      <c r="K5" s="123" t="s">
        <v>16</v>
      </c>
      <c r="L5" s="126">
        <v>40875</v>
      </c>
      <c r="M5" s="127">
        <v>41101</v>
      </c>
      <c r="N5" s="127">
        <v>41263</v>
      </c>
      <c r="O5" s="127">
        <v>41475</v>
      </c>
      <c r="P5" s="127">
        <v>41617</v>
      </c>
      <c r="Q5" s="127">
        <v>41834</v>
      </c>
      <c r="R5" s="127">
        <v>41988</v>
      </c>
      <c r="S5" s="127">
        <v>42212</v>
      </c>
      <c r="T5" s="127">
        <v>42352</v>
      </c>
      <c r="U5" s="127">
        <v>42569</v>
      </c>
      <c r="V5" s="127">
        <v>42716</v>
      </c>
      <c r="W5" s="127">
        <v>42933</v>
      </c>
      <c r="X5" s="127">
        <v>43073</v>
      </c>
      <c r="Y5" s="127">
        <v>43311</v>
      </c>
      <c r="Z5" s="127">
        <v>43444</v>
      </c>
      <c r="AA5" s="127">
        <v>43668</v>
      </c>
      <c r="AB5" s="127">
        <v>43808</v>
      </c>
      <c r="AC5" s="127">
        <v>44179</v>
      </c>
      <c r="AD5" s="127">
        <v>44392</v>
      </c>
      <c r="AE5" s="127">
        <v>44536</v>
      </c>
      <c r="AF5" s="127">
        <v>44767</v>
      </c>
      <c r="AG5" s="127">
        <v>44900</v>
      </c>
      <c r="AH5" s="127">
        <v>45103</v>
      </c>
      <c r="AI5" s="127">
        <v>45264</v>
      </c>
      <c r="AJ5" s="84">
        <v>41244</v>
      </c>
      <c r="AK5" s="84">
        <v>41609</v>
      </c>
      <c r="AL5" s="84">
        <v>41974</v>
      </c>
      <c r="AM5" s="84">
        <v>42339</v>
      </c>
      <c r="AN5" s="84">
        <v>42705</v>
      </c>
      <c r="AO5" s="84">
        <v>43070</v>
      </c>
      <c r="AP5" s="84">
        <v>43435</v>
      </c>
      <c r="AQ5" s="84">
        <v>43800</v>
      </c>
      <c r="AR5" s="84">
        <v>44166</v>
      </c>
      <c r="AS5" s="84">
        <v>44531</v>
      </c>
      <c r="AT5" s="110">
        <v>44896</v>
      </c>
      <c r="AU5" s="110">
        <v>45261</v>
      </c>
      <c r="AV5" s="26">
        <v>45261</v>
      </c>
      <c r="AW5" s="84">
        <v>41456</v>
      </c>
      <c r="AX5" s="84">
        <v>41821</v>
      </c>
      <c r="AY5" s="84">
        <v>42186</v>
      </c>
      <c r="AZ5" s="84">
        <v>42552</v>
      </c>
      <c r="BA5" s="84">
        <v>42917</v>
      </c>
      <c r="BB5" s="84">
        <v>43282</v>
      </c>
      <c r="BC5" s="84">
        <v>43665</v>
      </c>
      <c r="BD5" s="84">
        <v>44378</v>
      </c>
      <c r="BE5" s="84">
        <v>44743</v>
      </c>
      <c r="BF5" s="84">
        <v>45108</v>
      </c>
      <c r="BG5" s="84">
        <v>45108</v>
      </c>
      <c r="BH5" s="110">
        <v>45108</v>
      </c>
    </row>
    <row r="6" spans="1:60" x14ac:dyDescent="0.25">
      <c r="A6" s="65">
        <v>29</v>
      </c>
      <c r="B6" s="66">
        <v>2255715.2170000002</v>
      </c>
      <c r="C6" s="66">
        <v>6232765.3030000003</v>
      </c>
      <c r="D6" s="66">
        <v>276.20999999999998</v>
      </c>
      <c r="E6" s="67" t="s">
        <v>17</v>
      </c>
      <c r="F6" s="68">
        <v>2012</v>
      </c>
      <c r="G6" s="69">
        <v>279.26499999999999</v>
      </c>
      <c r="H6" s="68">
        <v>2012</v>
      </c>
      <c r="I6" s="69">
        <v>279.42200000000003</v>
      </c>
      <c r="J6" s="68">
        <v>2023</v>
      </c>
      <c r="K6" s="148"/>
      <c r="L6" s="69"/>
      <c r="M6" s="69">
        <v>279.42200000000003</v>
      </c>
      <c r="N6" s="69">
        <v>279.26499999999999</v>
      </c>
      <c r="O6" s="69">
        <v>279.24599999999998</v>
      </c>
      <c r="P6" s="69">
        <v>278.84500000000003</v>
      </c>
      <c r="Q6" s="69">
        <v>278.726</v>
      </c>
      <c r="R6" s="69">
        <v>278.589</v>
      </c>
      <c r="S6" s="69">
        <v>278.48599999999999</v>
      </c>
      <c r="T6" s="69">
        <v>278.238</v>
      </c>
      <c r="U6" s="69">
        <v>278.11799999999999</v>
      </c>
      <c r="V6" s="69">
        <v>277.93599999999998</v>
      </c>
      <c r="W6" s="69">
        <v>277.791</v>
      </c>
      <c r="X6" s="69">
        <v>277.73</v>
      </c>
      <c r="Y6" s="66">
        <v>277.76799999999997</v>
      </c>
      <c r="Z6" s="66">
        <v>277.36200000000002</v>
      </c>
      <c r="AA6" s="66">
        <v>277.33999999999997</v>
      </c>
      <c r="AB6" s="66">
        <v>277.20999999999998</v>
      </c>
      <c r="AC6" s="66">
        <v>277.02800000000002</v>
      </c>
      <c r="AD6" s="66">
        <v>276.92099999999999</v>
      </c>
      <c r="AE6" s="66">
        <v>276.61799999999999</v>
      </c>
      <c r="AF6" s="66">
        <v>276.58499999999998</v>
      </c>
      <c r="AG6" s="66">
        <v>276.40499999999997</v>
      </c>
      <c r="AH6" s="66">
        <v>276.32</v>
      </c>
      <c r="AI6" s="66">
        <v>276.33800000000002</v>
      </c>
      <c r="AJ6" s="71"/>
      <c r="AK6" s="66">
        <f>P6-N6</f>
        <v>-0.41999999999995907</v>
      </c>
      <c r="AL6" s="72">
        <f>R6-P6</f>
        <v>-0.25600000000002865</v>
      </c>
      <c r="AM6" s="72">
        <f>T6-R6</f>
        <v>-0.35099999999999909</v>
      </c>
      <c r="AN6" s="72">
        <f>V6-T6</f>
        <v>-0.30200000000002092</v>
      </c>
      <c r="AO6" s="72">
        <f>X6-V6</f>
        <v>-0.20599999999996044</v>
      </c>
      <c r="AP6" s="72">
        <f t="shared" ref="AP6:AP24" si="0">Z6-X6</f>
        <v>-0.367999999999995</v>
      </c>
      <c r="AQ6" s="72">
        <f>AB6-Z6</f>
        <v>-0.15200000000004366</v>
      </c>
      <c r="AR6" s="72">
        <f>AC6-AB6</f>
        <v>-0.18199999999995953</v>
      </c>
      <c r="AS6" s="72">
        <f>(AE6-AC6)</f>
        <v>-0.41000000000002501</v>
      </c>
      <c r="AT6" s="111">
        <f>AG6-AE6</f>
        <v>-0.21300000000002228</v>
      </c>
      <c r="AU6" s="111">
        <f>AI6-AG6</f>
        <v>-6.6999999999950433E-2</v>
      </c>
      <c r="AV6" s="108">
        <f>(AI6-G6)/(2023-F6)</f>
        <v>-0.26609090909090582</v>
      </c>
      <c r="AW6" s="73">
        <f>O6-M6</f>
        <v>-0.17600000000004457</v>
      </c>
      <c r="AX6" s="72">
        <f>Q6-O6</f>
        <v>-0.51999999999998181</v>
      </c>
      <c r="AY6" s="72">
        <f>S6-Q6</f>
        <v>-0.24000000000000909</v>
      </c>
      <c r="AZ6" s="72">
        <f>U6-S6</f>
        <v>-0.367999999999995</v>
      </c>
      <c r="BA6" s="72">
        <f>W6-U6</f>
        <v>-0.32699999999999818</v>
      </c>
      <c r="BB6" s="72">
        <f t="shared" ref="BB6:BB24" si="1">Y6-W6</f>
        <v>-2.3000000000024556E-2</v>
      </c>
      <c r="BC6" s="72">
        <f t="shared" ref="BC6:BC24" si="2">AA6-Y6</f>
        <v>-0.42799999999999727</v>
      </c>
      <c r="BD6" s="72">
        <f>(AD6-AA6)/2</f>
        <v>-0.20949999999999136</v>
      </c>
      <c r="BE6" s="72">
        <f>AF6-AD6</f>
        <v>-0.33600000000001273</v>
      </c>
      <c r="BF6" s="72">
        <f>AH6-AF6</f>
        <v>-0.26499999999998636</v>
      </c>
      <c r="BG6" s="72">
        <f t="shared" ref="BG6:BG8" si="3">(AH6-AD6)/2</f>
        <v>-0.30049999999999955</v>
      </c>
      <c r="BH6" s="72">
        <f>(AH6-$I6)/(2023-$H6)</f>
        <v>-0.28200000000000292</v>
      </c>
    </row>
    <row r="7" spans="1:60" x14ac:dyDescent="0.25">
      <c r="A7" s="65">
        <v>62</v>
      </c>
      <c r="B7" s="66">
        <v>2138252.5279999999</v>
      </c>
      <c r="C7" s="66">
        <v>6339532.9939999999</v>
      </c>
      <c r="D7" s="66">
        <v>288.86500000000001</v>
      </c>
      <c r="E7" s="67" t="s">
        <v>18</v>
      </c>
      <c r="F7" s="68">
        <v>2012</v>
      </c>
      <c r="G7" s="66">
        <v>288.97800000000001</v>
      </c>
      <c r="H7" s="68">
        <v>2012</v>
      </c>
      <c r="I7" s="66">
        <v>289.17399999999998</v>
      </c>
      <c r="J7" s="68">
        <v>2023</v>
      </c>
      <c r="K7" s="149"/>
      <c r="L7" s="66"/>
      <c r="M7" s="66">
        <v>289.17399999999998</v>
      </c>
      <c r="N7" s="66">
        <v>288.97800000000001</v>
      </c>
      <c r="O7" s="66">
        <v>289.06900000000002</v>
      </c>
      <c r="P7" s="66">
        <v>288.74599999999998</v>
      </c>
      <c r="Q7" s="66">
        <v>288.87200000000001</v>
      </c>
      <c r="R7" s="66">
        <v>288.82400000000001</v>
      </c>
      <c r="S7" s="69">
        <v>289.02800000000002</v>
      </c>
      <c r="T7" s="69">
        <v>288.904</v>
      </c>
      <c r="U7" s="69">
        <v>288.93099999999998</v>
      </c>
      <c r="V7" s="66">
        <v>288.80500000000001</v>
      </c>
      <c r="W7" s="66">
        <v>288.88299999999998</v>
      </c>
      <c r="X7" s="66">
        <v>288.87</v>
      </c>
      <c r="Y7" s="66">
        <v>289.02600000000001</v>
      </c>
      <c r="Z7" s="66">
        <v>288.803</v>
      </c>
      <c r="AA7" s="66">
        <v>288.93700000000001</v>
      </c>
      <c r="AB7" s="66">
        <v>288.86799999999999</v>
      </c>
      <c r="AC7" s="66">
        <v>288.851</v>
      </c>
      <c r="AD7" s="66">
        <v>288.99400000000003</v>
      </c>
      <c r="AE7" s="66">
        <v>288.68700000000001</v>
      </c>
      <c r="AF7" s="66">
        <v>288.80799999999999</v>
      </c>
      <c r="AG7" s="66">
        <v>288.78100000000001</v>
      </c>
      <c r="AH7" s="66">
        <v>288.79899999999998</v>
      </c>
      <c r="AI7" s="66">
        <v>288.92</v>
      </c>
      <c r="AJ7" s="71"/>
      <c r="AK7" s="66">
        <f>P7-N7</f>
        <v>-0.23200000000002774</v>
      </c>
      <c r="AL7" s="72">
        <f>R7-P7</f>
        <v>7.8000000000031378E-2</v>
      </c>
      <c r="AM7" s="72">
        <f>T7-R7</f>
        <v>7.9999999999984084E-2</v>
      </c>
      <c r="AN7" s="72">
        <f>V7-T7</f>
        <v>-9.8999999999989541E-2</v>
      </c>
      <c r="AO7" s="72">
        <f>X7-V7</f>
        <v>6.4999999999997726E-2</v>
      </c>
      <c r="AP7" s="72">
        <f t="shared" si="0"/>
        <v>-6.7000000000007276E-2</v>
      </c>
      <c r="AQ7" s="72">
        <f>AB7-Z7</f>
        <v>6.4999999999997726E-2</v>
      </c>
      <c r="AR7" s="72">
        <f>AC7-AB7</f>
        <v>-1.6999999999995907E-2</v>
      </c>
      <c r="AS7" s="72">
        <f t="shared" ref="AS7:AS70" si="4">(AE7-AC7)</f>
        <v>-0.16399999999998727</v>
      </c>
      <c r="AT7" s="111">
        <f t="shared" ref="AT7:AT17" si="5">AG7-AE7</f>
        <v>9.3999999999994088E-2</v>
      </c>
      <c r="AU7" s="111">
        <f t="shared" ref="AU7:AU70" si="6">AI7-AG7</f>
        <v>0.13900000000001</v>
      </c>
      <c r="AV7" s="108">
        <f t="shared" ref="AV7:AV70" si="7">(AI7-G7)/(2023-F7)</f>
        <v>-5.2727272727266109E-3</v>
      </c>
      <c r="AW7" s="73">
        <f>O7-M7</f>
        <v>-0.10499999999996135</v>
      </c>
      <c r="AX7" s="72">
        <f>Q7-O7</f>
        <v>-0.19700000000000273</v>
      </c>
      <c r="AY7" s="72">
        <f>S7-Q7</f>
        <v>0.15600000000000591</v>
      </c>
      <c r="AZ7" s="72">
        <f>U7-S7</f>
        <v>-9.7000000000036835E-2</v>
      </c>
      <c r="BA7" s="72">
        <f>W7-U7</f>
        <v>-4.8000000000001819E-2</v>
      </c>
      <c r="BB7" s="72">
        <f t="shared" si="1"/>
        <v>0.1430000000000291</v>
      </c>
      <c r="BC7" s="72">
        <f t="shared" si="2"/>
        <v>-8.8999999999998636E-2</v>
      </c>
      <c r="BD7" s="72">
        <f t="shared" ref="BD7:BD17" si="8">(AD7-AA7)/2</f>
        <v>2.8500000000008185E-2</v>
      </c>
      <c r="BE7" s="72">
        <f t="shared" ref="BE7:BE70" si="9">AF7-AD7</f>
        <v>-0.18600000000003547</v>
      </c>
      <c r="BF7" s="72">
        <f t="shared" ref="BF7:BF17" si="10">AH7-AF7</f>
        <v>-9.0000000000145519E-3</v>
      </c>
      <c r="BG7" s="72">
        <f t="shared" si="3"/>
        <v>-9.7500000000025011E-2</v>
      </c>
      <c r="BH7" s="72">
        <f t="shared" ref="BH7:BH17" si="11">(AH7-$I7)/(2023-$H7)</f>
        <v>-3.4090909090909088E-2</v>
      </c>
    </row>
    <row r="8" spans="1:60" x14ac:dyDescent="0.25">
      <c r="A8" s="65">
        <v>63</v>
      </c>
      <c r="B8" s="66">
        <v>2068328.3770000001</v>
      </c>
      <c r="C8" s="66">
        <v>6163767.9960000003</v>
      </c>
      <c r="D8" s="66">
        <v>328.21</v>
      </c>
      <c r="E8" s="67" t="s">
        <v>19</v>
      </c>
      <c r="F8" s="68">
        <v>2012</v>
      </c>
      <c r="G8" s="66">
        <v>330.06200000000001</v>
      </c>
      <c r="H8" s="68">
        <v>2012</v>
      </c>
      <c r="I8" s="66">
        <v>330.108</v>
      </c>
      <c r="J8" s="68">
        <v>2023</v>
      </c>
      <c r="K8" s="149"/>
      <c r="L8" s="66"/>
      <c r="M8" s="66">
        <v>330.108</v>
      </c>
      <c r="N8" s="66">
        <v>330.06200000000001</v>
      </c>
      <c r="O8" s="66">
        <v>329.892</v>
      </c>
      <c r="P8" s="66">
        <v>329.53800000000001</v>
      </c>
      <c r="Q8" s="66">
        <v>329.02499999999998</v>
      </c>
      <c r="R8" s="66">
        <v>329.14800000000002</v>
      </c>
      <c r="S8" s="69">
        <v>328.9</v>
      </c>
      <c r="T8" s="69">
        <v>328.80500000000001</v>
      </c>
      <c r="U8" s="66">
        <v>328.74900000000002</v>
      </c>
      <c r="V8" s="66">
        <v>328.68</v>
      </c>
      <c r="W8" s="66">
        <v>328.92599999999999</v>
      </c>
      <c r="X8" s="66">
        <v>329.06</v>
      </c>
      <c r="Y8" s="66">
        <v>329.02</v>
      </c>
      <c r="Z8" s="66">
        <v>328.92700000000002</v>
      </c>
      <c r="AA8" s="66">
        <v>329.03399999999999</v>
      </c>
      <c r="AB8" s="66">
        <v>329.03699999999998</v>
      </c>
      <c r="AC8" s="66">
        <v>328.54399999999998</v>
      </c>
      <c r="AD8" s="66">
        <v>328.26400000000001</v>
      </c>
      <c r="AE8" s="66">
        <v>328.13400000000001</v>
      </c>
      <c r="AF8" s="66">
        <v>327.82100000000003</v>
      </c>
      <c r="AG8" s="66">
        <v>327.767</v>
      </c>
      <c r="AH8" s="66">
        <v>328.19099999999997</v>
      </c>
      <c r="AI8" s="66">
        <v>328.31900000000002</v>
      </c>
      <c r="AJ8" s="71"/>
      <c r="AK8" s="66">
        <f>P8-N8</f>
        <v>-0.52400000000000091</v>
      </c>
      <c r="AL8" s="72">
        <f>R8-P8</f>
        <v>-0.38999999999998636</v>
      </c>
      <c r="AM8" s="72">
        <f>T8-R8</f>
        <v>-0.34300000000001774</v>
      </c>
      <c r="AN8" s="72">
        <f>V8-T8</f>
        <v>-0.125</v>
      </c>
      <c r="AO8" s="72">
        <f>X8-V8</f>
        <v>0.37999999999999545</v>
      </c>
      <c r="AP8" s="72">
        <f t="shared" si="0"/>
        <v>-0.13299999999998136</v>
      </c>
      <c r="AQ8" s="72">
        <f>AB8-Z8</f>
        <v>0.1099999999999568</v>
      </c>
      <c r="AR8" s="72">
        <f>AC8-AB8</f>
        <v>-0.492999999999995</v>
      </c>
      <c r="AS8" s="72">
        <f t="shared" si="4"/>
        <v>-0.40999999999996817</v>
      </c>
      <c r="AT8" s="111">
        <f t="shared" si="5"/>
        <v>-0.36700000000001864</v>
      </c>
      <c r="AU8" s="111">
        <f t="shared" si="6"/>
        <v>0.55200000000002092</v>
      </c>
      <c r="AV8" s="108">
        <f t="shared" si="7"/>
        <v>-0.15845454545454499</v>
      </c>
      <c r="AW8" s="73">
        <f>O8-M8</f>
        <v>-0.21600000000000819</v>
      </c>
      <c r="AX8" s="72">
        <f>Q8-O8</f>
        <v>-0.86700000000001864</v>
      </c>
      <c r="AY8" s="72">
        <f>S8-Q8</f>
        <v>-0.125</v>
      </c>
      <c r="AZ8" s="72">
        <f>U8-S8</f>
        <v>-0.15099999999995362</v>
      </c>
      <c r="BA8" s="72">
        <f>W8-U8</f>
        <v>0.17699999999996407</v>
      </c>
      <c r="BB8" s="72">
        <f t="shared" si="1"/>
        <v>9.3999999999994088E-2</v>
      </c>
      <c r="BC8" s="72">
        <f t="shared" si="2"/>
        <v>1.4000000000010004E-2</v>
      </c>
      <c r="BD8" s="72">
        <f t="shared" si="8"/>
        <v>-0.38499999999999091</v>
      </c>
      <c r="BE8" s="72">
        <f t="shared" si="9"/>
        <v>-0.44299999999998363</v>
      </c>
      <c r="BF8" s="72">
        <f t="shared" si="10"/>
        <v>0.3699999999999477</v>
      </c>
      <c r="BG8" s="72">
        <f t="shared" si="3"/>
        <v>-3.6500000000017963E-2</v>
      </c>
      <c r="BH8" s="72">
        <f t="shared" si="11"/>
        <v>-0.17427272727272999</v>
      </c>
    </row>
    <row r="9" spans="1:60" x14ac:dyDescent="0.25">
      <c r="A9" s="65">
        <v>101</v>
      </c>
      <c r="B9" s="66">
        <v>2213141.1359999999</v>
      </c>
      <c r="C9" s="66">
        <v>6133281.4709999999</v>
      </c>
      <c r="D9" s="66">
        <v>139.364</v>
      </c>
      <c r="E9" s="67" t="s">
        <v>20</v>
      </c>
      <c r="F9" s="68">
        <v>2011</v>
      </c>
      <c r="G9" s="66">
        <v>141.89400000000001</v>
      </c>
      <c r="H9" s="68">
        <v>2012</v>
      </c>
      <c r="I9" s="66">
        <v>141.75299999999999</v>
      </c>
      <c r="J9" s="68">
        <v>2023</v>
      </c>
      <c r="K9" s="149"/>
      <c r="L9" s="66">
        <v>141.89400000000001</v>
      </c>
      <c r="M9" s="66">
        <v>141.75299999999999</v>
      </c>
      <c r="N9" s="66">
        <v>141.78399999999999</v>
      </c>
      <c r="O9" s="66">
        <v>141.66800000000001</v>
      </c>
      <c r="P9" s="66">
        <v>141.39400000000001</v>
      </c>
      <c r="Q9" s="66">
        <v>141.35400000000001</v>
      </c>
      <c r="R9" s="66">
        <v>141.36799999999999</v>
      </c>
      <c r="S9" s="69">
        <v>141.19399999999999</v>
      </c>
      <c r="T9" s="66">
        <v>140.999</v>
      </c>
      <c r="U9" s="69">
        <v>140.97</v>
      </c>
      <c r="V9" s="66"/>
      <c r="W9" s="66">
        <v>140.6</v>
      </c>
      <c r="X9" s="66">
        <v>140.6</v>
      </c>
      <c r="Y9" s="66">
        <v>140.589</v>
      </c>
      <c r="Z9" s="66">
        <v>140.38300000000001</v>
      </c>
      <c r="AA9" s="66">
        <v>140.33600000000001</v>
      </c>
      <c r="AB9" s="66"/>
      <c r="AC9" s="66">
        <v>140.06700000000001</v>
      </c>
      <c r="AD9" s="66">
        <v>139.953</v>
      </c>
      <c r="AE9" s="66">
        <v>139.78800000000001</v>
      </c>
      <c r="AF9" s="66">
        <v>139.666</v>
      </c>
      <c r="AG9" s="66">
        <v>139.53399999999999</v>
      </c>
      <c r="AH9" s="66">
        <v>139.53899999999999</v>
      </c>
      <c r="AI9" s="66">
        <v>139.5</v>
      </c>
      <c r="AJ9" s="66">
        <f>N9-L9</f>
        <v>-0.11000000000001364</v>
      </c>
      <c r="AK9" s="66">
        <f>P9-N9</f>
        <v>-0.38999999999998636</v>
      </c>
      <c r="AL9" s="72">
        <f>R9-P9</f>
        <v>-2.6000000000010459E-2</v>
      </c>
      <c r="AM9" s="72">
        <f>T9-R9</f>
        <v>-0.36899999999999977</v>
      </c>
      <c r="AN9" s="72"/>
      <c r="AO9" s="72" t="s">
        <v>21</v>
      </c>
      <c r="AP9" s="72">
        <f t="shared" si="0"/>
        <v>-0.21699999999998454</v>
      </c>
      <c r="AQ9" s="72"/>
      <c r="AR9" s="72"/>
      <c r="AS9" s="72">
        <f t="shared" si="4"/>
        <v>-0.27899999999999636</v>
      </c>
      <c r="AT9" s="111">
        <f t="shared" si="5"/>
        <v>-0.2540000000000191</v>
      </c>
      <c r="AU9" s="111">
        <f t="shared" si="6"/>
        <v>-3.3999999999991815E-2</v>
      </c>
      <c r="AV9" s="14">
        <f t="shared" si="7"/>
        <v>-0.19950000000000045</v>
      </c>
      <c r="AW9" s="73">
        <f>O9-M9</f>
        <v>-8.4999999999979536E-2</v>
      </c>
      <c r="AX9" s="72">
        <f>Q9-O9</f>
        <v>-0.31399999999999295</v>
      </c>
      <c r="AY9" s="72">
        <f>S9-Q9</f>
        <v>-0.16000000000002501</v>
      </c>
      <c r="AZ9" s="72">
        <f>U9-S9</f>
        <v>-0.22399999999998954</v>
      </c>
      <c r="BA9" s="72">
        <f>W9-U9</f>
        <v>-0.37000000000000455</v>
      </c>
      <c r="BB9" s="72">
        <f t="shared" si="1"/>
        <v>-1.099999999999568E-2</v>
      </c>
      <c r="BC9" s="72">
        <f t="shared" si="2"/>
        <v>-0.2529999999999859</v>
      </c>
      <c r="BD9" s="72">
        <f t="shared" si="8"/>
        <v>-0.19150000000000489</v>
      </c>
      <c r="BE9" s="72">
        <f t="shared" si="9"/>
        <v>-0.28700000000000614</v>
      </c>
      <c r="BF9" s="72">
        <f t="shared" si="10"/>
        <v>-0.12700000000000955</v>
      </c>
      <c r="BG9" s="72">
        <f>(AH9-AD9)/2</f>
        <v>-0.20700000000000784</v>
      </c>
      <c r="BH9" s="72">
        <f t="shared" si="11"/>
        <v>-0.20127272727272716</v>
      </c>
    </row>
    <row r="10" spans="1:60" x14ac:dyDescent="0.25">
      <c r="A10" s="65">
        <v>104</v>
      </c>
      <c r="B10" s="66">
        <v>2167435.8939999999</v>
      </c>
      <c r="C10" s="66">
        <v>6185519.9929999998</v>
      </c>
      <c r="D10" s="66">
        <v>178.727</v>
      </c>
      <c r="E10" s="67" t="s">
        <v>122</v>
      </c>
      <c r="F10" s="68">
        <v>2011</v>
      </c>
      <c r="G10" s="66">
        <v>180.72399999999999</v>
      </c>
      <c r="H10" s="68">
        <v>2017</v>
      </c>
      <c r="I10" s="66">
        <v>179.63900000000001</v>
      </c>
      <c r="J10" s="68">
        <v>2023</v>
      </c>
      <c r="K10" s="149"/>
      <c r="L10" s="66">
        <v>180.72399999999999</v>
      </c>
      <c r="M10" s="66"/>
      <c r="N10" s="66"/>
      <c r="O10" s="66"/>
      <c r="P10" s="66"/>
      <c r="Q10" s="66"/>
      <c r="R10" s="66"/>
      <c r="S10" s="69"/>
      <c r="T10" s="66"/>
      <c r="U10" s="69"/>
      <c r="V10" s="66"/>
      <c r="W10" s="66">
        <v>179.63900000000001</v>
      </c>
      <c r="X10" s="66">
        <v>179.66</v>
      </c>
      <c r="Y10" s="66">
        <v>179.63300000000001</v>
      </c>
      <c r="Z10" s="66">
        <v>179.50700000000001</v>
      </c>
      <c r="AA10" s="66">
        <v>179.43100000000001</v>
      </c>
      <c r="AB10" s="66">
        <v>179.43100000000001</v>
      </c>
      <c r="AC10" s="66">
        <v>179.39500000000001</v>
      </c>
      <c r="AD10" s="66">
        <v>179.22200000000001</v>
      </c>
      <c r="AE10" s="66">
        <v>179.024</v>
      </c>
      <c r="AF10" s="66">
        <v>178.928</v>
      </c>
      <c r="AG10" s="66">
        <v>178.786</v>
      </c>
      <c r="AH10" s="66">
        <v>178.77699999999999</v>
      </c>
      <c r="AI10" s="66">
        <v>178.79</v>
      </c>
      <c r="AJ10" s="66"/>
      <c r="AK10" s="66"/>
      <c r="AL10" s="72"/>
      <c r="AM10" s="72"/>
      <c r="AN10" s="72"/>
      <c r="AO10" s="72" t="s">
        <v>21</v>
      </c>
      <c r="AP10" s="72">
        <f t="shared" si="0"/>
        <v>-0.15299999999999159</v>
      </c>
      <c r="AQ10" s="72">
        <f t="shared" ref="AQ10:AQ17" si="12">AB10-Z10</f>
        <v>-7.5999999999993406E-2</v>
      </c>
      <c r="AR10" s="72">
        <f t="shared" ref="AR10:AR17" si="13">AC10-AB10</f>
        <v>-3.6000000000001364E-2</v>
      </c>
      <c r="AS10" s="72">
        <f t="shared" si="4"/>
        <v>-0.37100000000000932</v>
      </c>
      <c r="AT10" s="111">
        <f t="shared" si="5"/>
        <v>-0.23799999999999955</v>
      </c>
      <c r="AU10" s="111">
        <f t="shared" si="6"/>
        <v>3.9999999999906777E-3</v>
      </c>
      <c r="AV10" s="14">
        <f t="shared" si="7"/>
        <v>-0.16116666666666646</v>
      </c>
      <c r="AW10" s="73"/>
      <c r="AX10" s="72"/>
      <c r="AY10" s="72"/>
      <c r="AZ10" s="72"/>
      <c r="BA10" s="72"/>
      <c r="BB10" s="72">
        <f t="shared" si="1"/>
        <v>-6.0000000000002274E-3</v>
      </c>
      <c r="BC10" s="72">
        <f t="shared" si="2"/>
        <v>-0.20199999999999818</v>
      </c>
      <c r="BD10" s="72">
        <f t="shared" si="8"/>
        <v>-0.10450000000000159</v>
      </c>
      <c r="BE10" s="72">
        <f t="shared" si="9"/>
        <v>-0.29400000000001114</v>
      </c>
      <c r="BF10" s="72">
        <f t="shared" si="10"/>
        <v>-0.15100000000001046</v>
      </c>
      <c r="BG10" s="72">
        <f t="shared" ref="BG10:BG17" si="14">(AH10-AD10)/2</f>
        <v>-0.2225000000000108</v>
      </c>
      <c r="BH10" s="72">
        <f t="shared" si="11"/>
        <v>-0.14366666666667052</v>
      </c>
    </row>
    <row r="11" spans="1:60" x14ac:dyDescent="0.25">
      <c r="A11" s="65">
        <v>108</v>
      </c>
      <c r="B11" s="66">
        <v>2342536.7749999999</v>
      </c>
      <c r="C11" s="66">
        <v>6022775.7240000004</v>
      </c>
      <c r="D11" s="66">
        <v>78.197000000000003</v>
      </c>
      <c r="E11" s="67" t="s">
        <v>23</v>
      </c>
      <c r="F11" s="68">
        <v>2011</v>
      </c>
      <c r="G11" s="66">
        <v>79.126000000000005</v>
      </c>
      <c r="H11" s="68">
        <v>2014</v>
      </c>
      <c r="I11" s="66">
        <v>79.093000000000004</v>
      </c>
      <c r="J11" s="68">
        <v>2023</v>
      </c>
      <c r="K11" s="149"/>
      <c r="L11" s="66">
        <v>79.126000000000005</v>
      </c>
      <c r="M11" s="66"/>
      <c r="N11" s="66"/>
      <c r="O11" s="66"/>
      <c r="P11" s="66">
        <v>78.941999999999993</v>
      </c>
      <c r="Q11" s="66">
        <v>79.093000000000004</v>
      </c>
      <c r="R11" s="66">
        <v>78.95</v>
      </c>
      <c r="S11" s="69">
        <v>78.831999999999994</v>
      </c>
      <c r="T11" s="66">
        <v>78.739999999999995</v>
      </c>
      <c r="U11" s="66">
        <v>78.641000000000005</v>
      </c>
      <c r="V11" s="66">
        <v>78.649000000000001</v>
      </c>
      <c r="W11" s="66">
        <v>78.638000000000005</v>
      </c>
      <c r="X11" s="66">
        <v>78.650000000000006</v>
      </c>
      <c r="Y11" s="66">
        <v>78.450999999999993</v>
      </c>
      <c r="Z11" s="66">
        <v>78.549000000000007</v>
      </c>
      <c r="AA11" s="66">
        <v>78.614000000000004</v>
      </c>
      <c r="AB11" s="66">
        <v>78.558999999999997</v>
      </c>
      <c r="AC11" s="66">
        <v>78.405000000000001</v>
      </c>
      <c r="AD11" s="66">
        <v>78.433000000000007</v>
      </c>
      <c r="AE11" s="66">
        <v>78.272000000000006</v>
      </c>
      <c r="AF11" s="66">
        <v>78.269000000000005</v>
      </c>
      <c r="AG11" s="66">
        <v>78.233000000000004</v>
      </c>
      <c r="AH11" s="66">
        <v>78.245000000000005</v>
      </c>
      <c r="AI11" s="66">
        <v>78.344999999999999</v>
      </c>
      <c r="AJ11" s="66"/>
      <c r="AK11" s="66"/>
      <c r="AL11" s="72">
        <f t="shared" ref="AL11:AL25" si="15">R11-P11</f>
        <v>8.0000000000097771E-3</v>
      </c>
      <c r="AM11" s="72">
        <f t="shared" ref="AM11:AM25" si="16">T11-R11</f>
        <v>-0.21000000000000796</v>
      </c>
      <c r="AN11" s="72">
        <f t="shared" ref="AN11:AN25" si="17">V11-T11</f>
        <v>-9.0999999999993975E-2</v>
      </c>
      <c r="AO11" s="72">
        <f t="shared" ref="AO11:AO25" si="18">X11-V11</f>
        <v>1.0000000000047748E-3</v>
      </c>
      <c r="AP11" s="72">
        <f t="shared" si="0"/>
        <v>-0.10099999999999909</v>
      </c>
      <c r="AQ11" s="72">
        <f t="shared" si="12"/>
        <v>9.9999999999909051E-3</v>
      </c>
      <c r="AR11" s="72">
        <f t="shared" si="13"/>
        <v>-0.15399999999999636</v>
      </c>
      <c r="AS11" s="72">
        <f t="shared" si="4"/>
        <v>-0.13299999999999557</v>
      </c>
      <c r="AT11" s="111">
        <f t="shared" si="5"/>
        <v>-3.9000000000001478E-2</v>
      </c>
      <c r="AU11" s="111">
        <f t="shared" si="6"/>
        <v>0.11199999999999477</v>
      </c>
      <c r="AV11" s="14">
        <f t="shared" si="7"/>
        <v>-6.5083333333333826E-2</v>
      </c>
      <c r="AW11" s="73"/>
      <c r="AX11" s="71"/>
      <c r="AY11" s="72">
        <f t="shared" ref="AY11:AY25" si="19">S11-Q11</f>
        <v>-0.26100000000000989</v>
      </c>
      <c r="AZ11" s="72">
        <f t="shared" ref="AZ11:AZ25" si="20">U11-S11</f>
        <v>-0.19099999999998829</v>
      </c>
      <c r="BA11" s="72">
        <f t="shared" ref="BA11:BA25" si="21">W11-U11</f>
        <v>-3.0000000000001137E-3</v>
      </c>
      <c r="BB11" s="72">
        <f t="shared" si="1"/>
        <v>-0.18700000000001182</v>
      </c>
      <c r="BC11" s="72">
        <f t="shared" si="2"/>
        <v>0.16300000000001091</v>
      </c>
      <c r="BD11" s="72">
        <f t="shared" si="8"/>
        <v>-9.0499999999998693E-2</v>
      </c>
      <c r="BE11" s="72">
        <f t="shared" si="9"/>
        <v>-0.16400000000000148</v>
      </c>
      <c r="BF11" s="72">
        <f t="shared" si="10"/>
        <v>-2.4000000000000909E-2</v>
      </c>
      <c r="BG11" s="72">
        <f t="shared" si="14"/>
        <v>-9.4000000000001194E-2</v>
      </c>
      <c r="BH11" s="72">
        <f t="shared" si="11"/>
        <v>-9.422222222222211E-2</v>
      </c>
    </row>
    <row r="12" spans="1:60" x14ac:dyDescent="0.25">
      <c r="A12" s="65">
        <v>119</v>
      </c>
      <c r="B12" s="66">
        <v>2420921.4879999999</v>
      </c>
      <c r="C12" s="66">
        <v>6035543.2019999996</v>
      </c>
      <c r="D12" s="66">
        <v>110.84699999999999</v>
      </c>
      <c r="E12" s="85">
        <v>109.28</v>
      </c>
      <c r="F12" s="68">
        <v>2011</v>
      </c>
      <c r="G12" s="66">
        <v>111.229</v>
      </c>
      <c r="H12" s="68">
        <v>2012</v>
      </c>
      <c r="I12" s="66">
        <v>111.089</v>
      </c>
      <c r="J12" s="68">
        <v>2023</v>
      </c>
      <c r="K12" s="149"/>
      <c r="L12" s="66">
        <v>111.229</v>
      </c>
      <c r="M12" s="66">
        <v>111.089</v>
      </c>
      <c r="N12" s="66">
        <v>111.136</v>
      </c>
      <c r="O12" s="66">
        <v>111.008</v>
      </c>
      <c r="P12" s="66">
        <v>110.94</v>
      </c>
      <c r="Q12" s="66">
        <v>111.16800000000001</v>
      </c>
      <c r="R12" s="66">
        <v>111.16</v>
      </c>
      <c r="S12" s="69">
        <v>111.098</v>
      </c>
      <c r="T12" s="66">
        <v>111.057</v>
      </c>
      <c r="U12" s="69">
        <v>110.96</v>
      </c>
      <c r="V12" s="66">
        <v>111.059</v>
      </c>
      <c r="W12" s="66">
        <v>111.03100000000001</v>
      </c>
      <c r="X12" s="66">
        <v>111.05</v>
      </c>
      <c r="Y12" s="66">
        <v>110.872</v>
      </c>
      <c r="Z12" s="66">
        <v>110.9</v>
      </c>
      <c r="AA12" s="66">
        <v>110.85299999999999</v>
      </c>
      <c r="AB12" s="66">
        <v>111.062</v>
      </c>
      <c r="AC12" s="66">
        <v>110.938</v>
      </c>
      <c r="AD12" s="66">
        <v>110.72799999999999</v>
      </c>
      <c r="AE12" s="66">
        <v>110.774</v>
      </c>
      <c r="AF12" s="66">
        <v>110.705</v>
      </c>
      <c r="AG12" s="66">
        <v>110.717</v>
      </c>
      <c r="AH12" s="66">
        <v>110.736</v>
      </c>
      <c r="AI12" s="66">
        <v>110.996</v>
      </c>
      <c r="AJ12" s="66">
        <f>N12-L12</f>
        <v>-9.3000000000003524E-2</v>
      </c>
      <c r="AK12" s="66">
        <f>P12-N12</f>
        <v>-0.19599999999999795</v>
      </c>
      <c r="AL12" s="72">
        <f t="shared" si="15"/>
        <v>0.21999999999999886</v>
      </c>
      <c r="AM12" s="72">
        <f t="shared" si="16"/>
        <v>-0.10299999999999443</v>
      </c>
      <c r="AN12" s="72">
        <f t="shared" si="17"/>
        <v>1.9999999999953388E-3</v>
      </c>
      <c r="AO12" s="72">
        <f t="shared" si="18"/>
        <v>-9.0000000000003411E-3</v>
      </c>
      <c r="AP12" s="72">
        <f t="shared" si="0"/>
        <v>-0.14999999999999147</v>
      </c>
      <c r="AQ12" s="72">
        <f t="shared" si="12"/>
        <v>0.16199999999999193</v>
      </c>
      <c r="AR12" s="72">
        <f t="shared" si="13"/>
        <v>-0.12399999999999523</v>
      </c>
      <c r="AS12" s="72">
        <f t="shared" si="4"/>
        <v>-0.16400000000000148</v>
      </c>
      <c r="AT12" s="111">
        <f t="shared" si="5"/>
        <v>-5.700000000000216E-2</v>
      </c>
      <c r="AU12" s="111">
        <f t="shared" si="6"/>
        <v>0.27899999999999636</v>
      </c>
      <c r="AV12" s="14">
        <f t="shared" si="7"/>
        <v>-1.9416666666667009E-2</v>
      </c>
      <c r="AW12" s="73">
        <f>O12-M12</f>
        <v>-8.100000000000307E-2</v>
      </c>
      <c r="AX12" s="72">
        <f>Q12-O12</f>
        <v>0.1600000000000108</v>
      </c>
      <c r="AY12" s="72">
        <f t="shared" si="19"/>
        <v>-7.000000000000739E-2</v>
      </c>
      <c r="AZ12" s="72">
        <f t="shared" si="20"/>
        <v>-0.13800000000000523</v>
      </c>
      <c r="BA12" s="72">
        <f t="shared" si="21"/>
        <v>7.1000000000012164E-2</v>
      </c>
      <c r="BB12" s="72">
        <f t="shared" si="1"/>
        <v>-0.15900000000000603</v>
      </c>
      <c r="BC12" s="72">
        <f t="shared" si="2"/>
        <v>-1.9000000000005457E-2</v>
      </c>
      <c r="BD12" s="72">
        <f t="shared" si="8"/>
        <v>-6.25E-2</v>
      </c>
      <c r="BE12" s="72">
        <f t="shared" si="9"/>
        <v>-2.2999999999996135E-2</v>
      </c>
      <c r="BF12" s="72">
        <f t="shared" si="10"/>
        <v>3.1000000000005912E-2</v>
      </c>
      <c r="BG12" s="72">
        <f t="shared" si="14"/>
        <v>4.0000000000048885E-3</v>
      </c>
      <c r="BH12" s="72">
        <f t="shared" si="11"/>
        <v>-3.2090909090908587E-2</v>
      </c>
    </row>
    <row r="13" spans="1:60" x14ac:dyDescent="0.25">
      <c r="A13" s="65">
        <v>120</v>
      </c>
      <c r="B13" s="66">
        <v>2246626.0180000002</v>
      </c>
      <c r="C13" s="66">
        <v>6356803.7189999996</v>
      </c>
      <c r="D13" s="66">
        <v>606.61599999999999</v>
      </c>
      <c r="E13" s="85">
        <v>604.16399999999999</v>
      </c>
      <c r="F13" s="68">
        <v>2011</v>
      </c>
      <c r="G13" s="66">
        <v>606.82899999999995</v>
      </c>
      <c r="H13" s="68">
        <v>2014</v>
      </c>
      <c r="I13" s="66">
        <v>606.74099999999999</v>
      </c>
      <c r="J13" s="68">
        <v>2023</v>
      </c>
      <c r="K13" s="149"/>
      <c r="L13" s="66">
        <v>606.82899999999995</v>
      </c>
      <c r="M13" s="66"/>
      <c r="N13" s="66"/>
      <c r="O13" s="66"/>
      <c r="P13" s="66">
        <v>606.55999999999995</v>
      </c>
      <c r="Q13" s="66">
        <v>606.74099999999999</v>
      </c>
      <c r="R13" s="66">
        <v>606.58000000000004</v>
      </c>
      <c r="S13" s="69">
        <v>606.94100000000003</v>
      </c>
      <c r="T13" s="66">
        <v>606.78099999999995</v>
      </c>
      <c r="U13" s="66">
        <v>606.80200000000002</v>
      </c>
      <c r="V13" s="66">
        <v>606.73699999999997</v>
      </c>
      <c r="W13" s="66">
        <v>606.78899999999999</v>
      </c>
      <c r="X13" s="66">
        <v>606.76</v>
      </c>
      <c r="Y13" s="66">
        <v>606.89599999999996</v>
      </c>
      <c r="Z13" s="66">
        <v>606.61599999999999</v>
      </c>
      <c r="AA13" s="66">
        <v>606.73299999999995</v>
      </c>
      <c r="AB13" s="66">
        <v>606.67499999999995</v>
      </c>
      <c r="AC13" s="66">
        <v>606.74900000000002</v>
      </c>
      <c r="AD13" s="66">
        <v>606.88300000000004</v>
      </c>
      <c r="AE13" s="66">
        <v>606.66999999999996</v>
      </c>
      <c r="AF13" s="66">
        <v>606.68899999999996</v>
      </c>
      <c r="AG13" s="66">
        <v>606.56700000000001</v>
      </c>
      <c r="AH13" s="66">
        <v>606.75300000000004</v>
      </c>
      <c r="AI13" s="66">
        <v>606.73400000000004</v>
      </c>
      <c r="AJ13" s="66"/>
      <c r="AK13" s="66"/>
      <c r="AL13" s="72">
        <f t="shared" si="15"/>
        <v>2.0000000000095497E-2</v>
      </c>
      <c r="AM13" s="72">
        <f t="shared" si="16"/>
        <v>0.20099999999990814</v>
      </c>
      <c r="AN13" s="72">
        <f t="shared" si="17"/>
        <v>-4.399999999998272E-2</v>
      </c>
      <c r="AO13" s="72">
        <f t="shared" si="18"/>
        <v>2.3000000000024556E-2</v>
      </c>
      <c r="AP13" s="72">
        <f t="shared" si="0"/>
        <v>-0.14400000000000546</v>
      </c>
      <c r="AQ13" s="72">
        <f t="shared" si="12"/>
        <v>5.8999999999969077E-2</v>
      </c>
      <c r="AR13" s="72">
        <f t="shared" si="13"/>
        <v>7.4000000000069122E-2</v>
      </c>
      <c r="AS13" s="72">
        <f t="shared" si="4"/>
        <v>-7.9000000000064574E-2</v>
      </c>
      <c r="AT13" s="111">
        <f t="shared" si="5"/>
        <v>-0.1029999999999518</v>
      </c>
      <c r="AU13" s="111">
        <f>AI13-AG13</f>
        <v>0.16700000000003001</v>
      </c>
      <c r="AV13" s="14">
        <f t="shared" si="7"/>
        <v>-7.9166666666594665E-3</v>
      </c>
      <c r="AW13" s="73"/>
      <c r="AX13" s="71"/>
      <c r="AY13" s="72">
        <f t="shared" si="19"/>
        <v>0.20000000000004547</v>
      </c>
      <c r="AZ13" s="72">
        <f t="shared" si="20"/>
        <v>-0.13900000000001</v>
      </c>
      <c r="BA13" s="72">
        <f t="shared" si="21"/>
        <v>-1.3000000000033651E-2</v>
      </c>
      <c r="BB13" s="72">
        <f t="shared" si="1"/>
        <v>0.1069999999999709</v>
      </c>
      <c r="BC13" s="72">
        <f t="shared" si="2"/>
        <v>-0.16300000000001091</v>
      </c>
      <c r="BD13" s="72">
        <f t="shared" si="8"/>
        <v>7.5000000000045475E-2</v>
      </c>
      <c r="BE13" s="72">
        <f t="shared" si="9"/>
        <v>-0.19400000000007367</v>
      </c>
      <c r="BF13" s="72">
        <f t="shared" si="10"/>
        <v>6.4000000000078217E-2</v>
      </c>
      <c r="BG13" s="72">
        <f t="shared" si="14"/>
        <v>-6.4999999999997726E-2</v>
      </c>
      <c r="BH13" s="72">
        <f t="shared" si="11"/>
        <v>1.3333333333396997E-3</v>
      </c>
    </row>
    <row r="14" spans="1:60" x14ac:dyDescent="0.25">
      <c r="A14" s="65">
        <v>121</v>
      </c>
      <c r="B14" s="66">
        <v>2244410.227</v>
      </c>
      <c r="C14" s="66">
        <v>6123306.3360000001</v>
      </c>
      <c r="D14" s="66">
        <v>126.518</v>
      </c>
      <c r="E14" s="85" t="s">
        <v>24</v>
      </c>
      <c r="F14" s="68">
        <v>2011</v>
      </c>
      <c r="G14" s="66">
        <v>129.83199999999999</v>
      </c>
      <c r="H14" s="68">
        <v>2012</v>
      </c>
      <c r="I14" s="66">
        <v>129.59200000000001</v>
      </c>
      <c r="J14" s="68">
        <v>2023</v>
      </c>
      <c r="K14" s="149"/>
      <c r="L14" s="66">
        <v>129.83199999999999</v>
      </c>
      <c r="M14" s="66">
        <v>129.59200000000001</v>
      </c>
      <c r="N14" s="66">
        <v>129.45099999999999</v>
      </c>
      <c r="O14" s="66">
        <v>129.18199999999999</v>
      </c>
      <c r="P14" s="66">
        <v>128.85</v>
      </c>
      <c r="Q14" s="66">
        <v>128.72800000000001</v>
      </c>
      <c r="R14" s="66">
        <v>128.69800000000001</v>
      </c>
      <c r="S14" s="69">
        <v>128.434</v>
      </c>
      <c r="T14" s="66">
        <v>128.18299999999999</v>
      </c>
      <c r="U14" s="69">
        <v>128.09700000000001</v>
      </c>
      <c r="V14" s="66">
        <v>127.83199999999999</v>
      </c>
      <c r="W14" s="66">
        <v>127.742</v>
      </c>
      <c r="X14" s="66">
        <v>127.69</v>
      </c>
      <c r="Y14" s="66">
        <v>127.60899999999999</v>
      </c>
      <c r="Z14" s="66">
        <v>127.44799999999999</v>
      </c>
      <c r="AA14" s="66">
        <v>127.41500000000001</v>
      </c>
      <c r="AB14" s="66">
        <v>127.327</v>
      </c>
      <c r="AC14" s="66">
        <v>127.131</v>
      </c>
      <c r="AD14" s="66">
        <v>127.017</v>
      </c>
      <c r="AE14" s="66">
        <v>126.839</v>
      </c>
      <c r="AF14" s="66">
        <v>126.718</v>
      </c>
      <c r="AG14" s="66">
        <v>126.625</v>
      </c>
      <c r="AH14" s="66">
        <v>126.565</v>
      </c>
      <c r="AI14" s="66">
        <v>126.63200000000001</v>
      </c>
      <c r="AJ14" s="66">
        <f t="shared" ref="AJ14:AJ25" si="22">N14-L14</f>
        <v>-0.38100000000000023</v>
      </c>
      <c r="AK14" s="66">
        <f t="shared" ref="AK14:AK25" si="23">P14-N14</f>
        <v>-0.60099999999999909</v>
      </c>
      <c r="AL14" s="72">
        <f t="shared" si="15"/>
        <v>-0.15199999999998681</v>
      </c>
      <c r="AM14" s="72">
        <f t="shared" si="16"/>
        <v>-0.51500000000001478</v>
      </c>
      <c r="AN14" s="72">
        <f t="shared" si="17"/>
        <v>-0.35099999999999909</v>
      </c>
      <c r="AO14" s="72">
        <f t="shared" si="18"/>
        <v>-0.14199999999999591</v>
      </c>
      <c r="AP14" s="72">
        <f t="shared" si="0"/>
        <v>-0.24200000000000443</v>
      </c>
      <c r="AQ14" s="72">
        <f t="shared" si="12"/>
        <v>-0.12099999999999511</v>
      </c>
      <c r="AR14" s="66">
        <f t="shared" si="13"/>
        <v>-0.19599999999999795</v>
      </c>
      <c r="AS14" s="66">
        <f t="shared" si="4"/>
        <v>-0.29200000000000159</v>
      </c>
      <c r="AT14" s="111">
        <f t="shared" si="5"/>
        <v>-0.21399999999999864</v>
      </c>
      <c r="AU14" s="111">
        <f t="shared" si="6"/>
        <v>7.0000000000050022E-3</v>
      </c>
      <c r="AV14" s="14">
        <f t="shared" si="7"/>
        <v>-0.26666666666666572</v>
      </c>
      <c r="AW14" s="73">
        <f t="shared" ref="AW14:AW25" si="24">O14-M14</f>
        <v>-0.41000000000002501</v>
      </c>
      <c r="AX14" s="72">
        <f t="shared" ref="AX14:AX25" si="25">Q14-O14</f>
        <v>-0.45399999999997931</v>
      </c>
      <c r="AY14" s="72">
        <f t="shared" si="19"/>
        <v>-0.29400000000001114</v>
      </c>
      <c r="AZ14" s="72">
        <f t="shared" si="20"/>
        <v>-0.33699999999998909</v>
      </c>
      <c r="BA14" s="72">
        <f t="shared" si="21"/>
        <v>-0.35500000000000398</v>
      </c>
      <c r="BB14" s="72">
        <f t="shared" si="1"/>
        <v>-0.13300000000000978</v>
      </c>
      <c r="BC14" s="72">
        <f t="shared" si="2"/>
        <v>-0.1939999999999884</v>
      </c>
      <c r="BD14" s="72">
        <f t="shared" si="8"/>
        <v>-0.19900000000000517</v>
      </c>
      <c r="BE14" s="72">
        <f t="shared" si="9"/>
        <v>-0.29899999999999238</v>
      </c>
      <c r="BF14" s="72">
        <f t="shared" si="10"/>
        <v>-0.1530000000000058</v>
      </c>
      <c r="BG14" s="72">
        <f t="shared" si="14"/>
        <v>-0.22599999999999909</v>
      </c>
      <c r="BH14" s="72">
        <f t="shared" si="11"/>
        <v>-0.27518181818181958</v>
      </c>
    </row>
    <row r="15" spans="1:60" x14ac:dyDescent="0.25">
      <c r="A15" s="65">
        <v>122</v>
      </c>
      <c r="B15" s="66">
        <v>2166402.6490000002</v>
      </c>
      <c r="C15" s="66">
        <v>6153888.6540000001</v>
      </c>
      <c r="D15" s="66">
        <v>166.828</v>
      </c>
      <c r="E15" s="67" t="s">
        <v>25</v>
      </c>
      <c r="F15" s="68">
        <v>2011</v>
      </c>
      <c r="G15" s="66">
        <v>168.126</v>
      </c>
      <c r="H15" s="68">
        <v>2012</v>
      </c>
      <c r="I15" s="66">
        <v>168.03</v>
      </c>
      <c r="J15" s="68">
        <v>2023</v>
      </c>
      <c r="K15" s="149"/>
      <c r="L15" s="66">
        <v>168.126</v>
      </c>
      <c r="M15" s="66">
        <v>168.03</v>
      </c>
      <c r="N15" s="66">
        <v>168.06</v>
      </c>
      <c r="O15" s="66">
        <v>168.03</v>
      </c>
      <c r="P15" s="66">
        <v>167.744</v>
      </c>
      <c r="Q15" s="66">
        <v>167.715</v>
      </c>
      <c r="R15" s="66">
        <v>167.78899999999999</v>
      </c>
      <c r="S15" s="69">
        <v>167.679</v>
      </c>
      <c r="T15" s="66">
        <v>167.49299999999999</v>
      </c>
      <c r="U15" s="66">
        <v>167.59800000000001</v>
      </c>
      <c r="V15" s="66">
        <v>167.32</v>
      </c>
      <c r="W15" s="66">
        <v>167.423</v>
      </c>
      <c r="X15" s="66">
        <v>167.44</v>
      </c>
      <c r="Y15" s="66">
        <v>167.50800000000001</v>
      </c>
      <c r="Z15" s="66">
        <v>167.351</v>
      </c>
      <c r="AA15" s="66">
        <v>167.4</v>
      </c>
      <c r="AB15" s="66">
        <v>167.322</v>
      </c>
      <c r="AC15" s="66">
        <v>167.23099999999999</v>
      </c>
      <c r="AD15" s="66">
        <v>167.23599999999999</v>
      </c>
      <c r="AE15" s="66">
        <v>166.976</v>
      </c>
      <c r="AF15" s="66">
        <v>166.893</v>
      </c>
      <c r="AG15" s="66">
        <v>166.75200000000001</v>
      </c>
      <c r="AH15" s="66">
        <v>166.88499999999999</v>
      </c>
      <c r="AI15" s="66">
        <v>166.833</v>
      </c>
      <c r="AJ15" s="66">
        <f t="shared" si="22"/>
        <v>-6.6000000000002501E-2</v>
      </c>
      <c r="AK15" s="66">
        <f t="shared" si="23"/>
        <v>-0.3160000000000025</v>
      </c>
      <c r="AL15" s="72">
        <f t="shared" si="15"/>
        <v>4.4999999999987494E-2</v>
      </c>
      <c r="AM15" s="72">
        <f t="shared" si="16"/>
        <v>-0.29599999999999227</v>
      </c>
      <c r="AN15" s="72">
        <f t="shared" si="17"/>
        <v>-0.17300000000000182</v>
      </c>
      <c r="AO15" s="72">
        <f t="shared" si="18"/>
        <v>0.12000000000000455</v>
      </c>
      <c r="AP15" s="72">
        <f t="shared" si="0"/>
        <v>-8.8999999999998636E-2</v>
      </c>
      <c r="AQ15" s="72">
        <f t="shared" si="12"/>
        <v>-2.8999999999996362E-2</v>
      </c>
      <c r="AR15" s="66">
        <f t="shared" si="13"/>
        <v>-9.1000000000008185E-2</v>
      </c>
      <c r="AS15" s="66">
        <f t="shared" si="4"/>
        <v>-0.25499999999999545</v>
      </c>
      <c r="AT15" s="111">
        <f t="shared" si="5"/>
        <v>-0.22399999999998954</v>
      </c>
      <c r="AU15" s="111">
        <f t="shared" si="6"/>
        <v>8.0999999999988859E-2</v>
      </c>
      <c r="AV15" s="14">
        <f t="shared" si="7"/>
        <v>-0.10775000000000053</v>
      </c>
      <c r="AW15" s="73">
        <f t="shared" si="24"/>
        <v>0</v>
      </c>
      <c r="AX15" s="72">
        <f t="shared" si="25"/>
        <v>-0.31499999999999773</v>
      </c>
      <c r="AY15" s="72">
        <f t="shared" si="19"/>
        <v>-3.6000000000001364E-2</v>
      </c>
      <c r="AZ15" s="72">
        <f t="shared" si="20"/>
        <v>-8.0999999999988859E-2</v>
      </c>
      <c r="BA15" s="72">
        <f t="shared" si="21"/>
        <v>-0.17500000000001137</v>
      </c>
      <c r="BB15" s="72">
        <f t="shared" si="1"/>
        <v>8.5000000000007958E-2</v>
      </c>
      <c r="BC15" s="72">
        <f t="shared" si="2"/>
        <v>-0.10800000000000409</v>
      </c>
      <c r="BD15" s="72">
        <f t="shared" si="8"/>
        <v>-8.2000000000007844E-2</v>
      </c>
      <c r="BE15" s="72">
        <f t="shared" si="9"/>
        <v>-0.34299999999998931</v>
      </c>
      <c r="BF15" s="72">
        <f t="shared" si="10"/>
        <v>-8.0000000000097771E-3</v>
      </c>
      <c r="BG15" s="72">
        <f t="shared" si="14"/>
        <v>-0.17549999999999955</v>
      </c>
      <c r="BH15" s="72">
        <f t="shared" si="11"/>
        <v>-0.10409090909091002</v>
      </c>
    </row>
    <row r="16" spans="1:60" x14ac:dyDescent="0.25">
      <c r="A16" s="65">
        <v>123</v>
      </c>
      <c r="B16" s="66">
        <v>2232691.2080000001</v>
      </c>
      <c r="C16" s="66">
        <v>6167201.7300000004</v>
      </c>
      <c r="D16" s="66">
        <v>157.047</v>
      </c>
      <c r="E16" s="67" t="s">
        <v>26</v>
      </c>
      <c r="F16" s="68">
        <v>2011</v>
      </c>
      <c r="G16" s="66">
        <v>162.755</v>
      </c>
      <c r="H16" s="68">
        <v>2012</v>
      </c>
      <c r="I16" s="66">
        <v>162.523</v>
      </c>
      <c r="J16" s="68">
        <v>2023</v>
      </c>
      <c r="K16" s="149"/>
      <c r="L16" s="66">
        <v>162.755</v>
      </c>
      <c r="M16" s="66">
        <v>162.523</v>
      </c>
      <c r="N16" s="66">
        <v>162.411</v>
      </c>
      <c r="O16" s="66">
        <v>162.28</v>
      </c>
      <c r="P16" s="66">
        <v>161.75899999999999</v>
      </c>
      <c r="Q16" s="66">
        <v>161.65700000000001</v>
      </c>
      <c r="R16" s="66">
        <v>161.57599999999999</v>
      </c>
      <c r="S16" s="69">
        <v>161.245</v>
      </c>
      <c r="T16" s="66">
        <v>160.91</v>
      </c>
      <c r="U16" s="69">
        <v>160.63999999999999</v>
      </c>
      <c r="V16" s="66">
        <v>160.29300000000001</v>
      </c>
      <c r="W16" s="66">
        <v>159.96299999999999</v>
      </c>
      <c r="X16" s="66">
        <v>159.78</v>
      </c>
      <c r="Y16" s="66">
        <v>159.40799999999999</v>
      </c>
      <c r="Z16" s="66">
        <v>159.12100000000001</v>
      </c>
      <c r="AA16" s="66">
        <v>158.87</v>
      </c>
      <c r="AB16" s="66">
        <v>158.61500000000001</v>
      </c>
      <c r="AC16" s="66">
        <v>158.23400000000001</v>
      </c>
      <c r="AD16" s="66">
        <v>158.00200000000001</v>
      </c>
      <c r="AE16" s="66">
        <v>157.72999999999999</v>
      </c>
      <c r="AF16" s="66">
        <v>157.506</v>
      </c>
      <c r="AG16" s="66">
        <v>157.41999999999999</v>
      </c>
      <c r="AH16" s="66">
        <v>157.29</v>
      </c>
      <c r="AI16" s="66">
        <v>157.13999999999999</v>
      </c>
      <c r="AJ16" s="66">
        <f t="shared" si="22"/>
        <v>-0.34399999999999409</v>
      </c>
      <c r="AK16" s="66">
        <f t="shared" si="23"/>
        <v>-0.65200000000001523</v>
      </c>
      <c r="AL16" s="72">
        <f t="shared" si="15"/>
        <v>-0.18299999999999272</v>
      </c>
      <c r="AM16" s="72">
        <f t="shared" si="16"/>
        <v>-0.66599999999999682</v>
      </c>
      <c r="AN16" s="72">
        <f t="shared" si="17"/>
        <v>-0.61699999999999022</v>
      </c>
      <c r="AO16" s="72">
        <f t="shared" si="18"/>
        <v>-0.51300000000000523</v>
      </c>
      <c r="AP16" s="72">
        <f t="shared" si="0"/>
        <v>-0.65899999999999181</v>
      </c>
      <c r="AQ16" s="72">
        <f t="shared" si="12"/>
        <v>-0.50600000000000023</v>
      </c>
      <c r="AR16" s="66">
        <f t="shared" si="13"/>
        <v>-0.38100000000000023</v>
      </c>
      <c r="AS16" s="66">
        <f t="shared" si="4"/>
        <v>-0.5040000000000191</v>
      </c>
      <c r="AT16" s="111">
        <f t="shared" si="5"/>
        <v>-0.31000000000000227</v>
      </c>
      <c r="AU16" s="111">
        <f t="shared" si="6"/>
        <v>-0.28000000000000114</v>
      </c>
      <c r="AV16" s="14">
        <f t="shared" si="7"/>
        <v>-0.46791666666666742</v>
      </c>
      <c r="AW16" s="73">
        <f t="shared" si="24"/>
        <v>-0.242999999999995</v>
      </c>
      <c r="AX16" s="72">
        <f t="shared" si="25"/>
        <v>-0.62299999999999045</v>
      </c>
      <c r="AY16" s="72">
        <f t="shared" si="19"/>
        <v>-0.41200000000000614</v>
      </c>
      <c r="AZ16" s="72">
        <f t="shared" si="20"/>
        <v>-0.60500000000001819</v>
      </c>
      <c r="BA16" s="72">
        <f t="shared" si="21"/>
        <v>-0.6769999999999925</v>
      </c>
      <c r="BB16" s="72">
        <f t="shared" si="1"/>
        <v>-0.55500000000000682</v>
      </c>
      <c r="BC16" s="72">
        <f t="shared" si="2"/>
        <v>-0.53799999999998249</v>
      </c>
      <c r="BD16" s="72">
        <f t="shared" si="8"/>
        <v>-0.4339999999999975</v>
      </c>
      <c r="BE16" s="72">
        <f t="shared" si="9"/>
        <v>-0.49600000000000932</v>
      </c>
      <c r="BF16" s="72">
        <f t="shared" si="10"/>
        <v>-0.21600000000000819</v>
      </c>
      <c r="BG16" s="72">
        <f t="shared" si="14"/>
        <v>-0.35600000000000875</v>
      </c>
      <c r="BH16" s="72">
        <f t="shared" si="11"/>
        <v>-0.47572727272727311</v>
      </c>
    </row>
    <row r="17" spans="1:60" x14ac:dyDescent="0.25">
      <c r="A17" s="65">
        <v>124</v>
      </c>
      <c r="B17" s="66">
        <v>2280839.08</v>
      </c>
      <c r="C17" s="66">
        <v>6138903.2879999997</v>
      </c>
      <c r="D17" s="66">
        <v>144.65100000000001</v>
      </c>
      <c r="E17" s="67" t="s">
        <v>27</v>
      </c>
      <c r="F17" s="68">
        <v>2011</v>
      </c>
      <c r="G17" s="66">
        <v>149.62299999999999</v>
      </c>
      <c r="H17" s="68">
        <v>2012</v>
      </c>
      <c r="I17" s="66">
        <v>149.416</v>
      </c>
      <c r="J17" s="68">
        <v>2023</v>
      </c>
      <c r="K17" s="149"/>
      <c r="L17" s="66">
        <v>149.62299999999999</v>
      </c>
      <c r="M17" s="66">
        <v>149.416</v>
      </c>
      <c r="N17" s="66">
        <v>149.36600000000001</v>
      </c>
      <c r="O17" s="66">
        <v>148.99</v>
      </c>
      <c r="P17" s="66">
        <v>148.584</v>
      </c>
      <c r="Q17" s="66">
        <v>148.25700000000001</v>
      </c>
      <c r="R17" s="66">
        <v>148.131</v>
      </c>
      <c r="S17" s="69">
        <v>147.46299999999999</v>
      </c>
      <c r="T17" s="66">
        <v>147.202</v>
      </c>
      <c r="U17" s="66">
        <v>146.99</v>
      </c>
      <c r="V17" s="66">
        <v>146.756</v>
      </c>
      <c r="W17" s="66">
        <v>146.61500000000001</v>
      </c>
      <c r="X17" s="66">
        <v>146.61000000000001</v>
      </c>
      <c r="Y17" s="66">
        <v>146.32900000000001</v>
      </c>
      <c r="Z17" s="66">
        <v>146.226</v>
      </c>
      <c r="AA17" s="66">
        <v>146.06399999999999</v>
      </c>
      <c r="AB17" s="66">
        <v>146.072</v>
      </c>
      <c r="AC17" s="66">
        <v>145.82</v>
      </c>
      <c r="AD17" s="66">
        <v>145.46700000000001</v>
      </c>
      <c r="AE17" s="66">
        <v>145.33799999999999</v>
      </c>
      <c r="AF17" s="66">
        <v>144.89599999999999</v>
      </c>
      <c r="AG17" s="66">
        <v>144.78399999999999</v>
      </c>
      <c r="AH17" s="66">
        <v>144.792</v>
      </c>
      <c r="AI17" s="66">
        <v>144.80000000000001</v>
      </c>
      <c r="AJ17" s="66">
        <f t="shared" si="22"/>
        <v>-0.25699999999997658</v>
      </c>
      <c r="AK17" s="66">
        <f t="shared" si="23"/>
        <v>-0.78200000000001069</v>
      </c>
      <c r="AL17" s="72">
        <f t="shared" si="15"/>
        <v>-0.45300000000000296</v>
      </c>
      <c r="AM17" s="72">
        <f t="shared" si="16"/>
        <v>-0.92900000000000205</v>
      </c>
      <c r="AN17" s="72">
        <f t="shared" si="17"/>
        <v>-0.44599999999999795</v>
      </c>
      <c r="AO17" s="72">
        <f t="shared" si="18"/>
        <v>-0.14599999999998658</v>
      </c>
      <c r="AP17" s="72">
        <f t="shared" si="0"/>
        <v>-0.38400000000001455</v>
      </c>
      <c r="AQ17" s="72">
        <f t="shared" si="12"/>
        <v>-0.15399999999999636</v>
      </c>
      <c r="AR17" s="66">
        <f t="shared" si="13"/>
        <v>-0.25200000000000955</v>
      </c>
      <c r="AS17" s="66">
        <f t="shared" si="4"/>
        <v>-0.48199999999999932</v>
      </c>
      <c r="AT17" s="111">
        <f t="shared" si="5"/>
        <v>-0.55400000000000205</v>
      </c>
      <c r="AU17" s="111">
        <f t="shared" si="6"/>
        <v>1.6000000000019554E-2</v>
      </c>
      <c r="AV17" s="14">
        <f t="shared" si="7"/>
        <v>-0.40191666666666492</v>
      </c>
      <c r="AW17" s="73">
        <f t="shared" si="24"/>
        <v>-0.42599999999998772</v>
      </c>
      <c r="AX17" s="72">
        <f t="shared" si="25"/>
        <v>-0.73300000000000409</v>
      </c>
      <c r="AY17" s="72">
        <f t="shared" si="19"/>
        <v>-0.79400000000001114</v>
      </c>
      <c r="AZ17" s="72">
        <f t="shared" si="20"/>
        <v>-0.47299999999998477</v>
      </c>
      <c r="BA17" s="72">
        <f t="shared" si="21"/>
        <v>-0.375</v>
      </c>
      <c r="BB17" s="72">
        <f t="shared" si="1"/>
        <v>-0.28600000000000136</v>
      </c>
      <c r="BC17" s="72">
        <f t="shared" si="2"/>
        <v>-0.26500000000001478</v>
      </c>
      <c r="BD17" s="72">
        <f t="shared" si="8"/>
        <v>-0.29849999999999</v>
      </c>
      <c r="BE17" s="72">
        <f t="shared" si="9"/>
        <v>-0.57100000000002638</v>
      </c>
      <c r="BF17" s="72">
        <f t="shared" si="10"/>
        <v>-0.10399999999998499</v>
      </c>
      <c r="BG17" s="72">
        <f t="shared" si="14"/>
        <v>-0.33750000000000568</v>
      </c>
      <c r="BH17" s="72">
        <f t="shared" si="11"/>
        <v>-0.42036363636363594</v>
      </c>
    </row>
    <row r="18" spans="1:60" s="94" customFormat="1" x14ac:dyDescent="0.25">
      <c r="A18" s="36">
        <v>125</v>
      </c>
      <c r="B18" s="164" t="s">
        <v>28</v>
      </c>
      <c r="C18" s="165"/>
      <c r="D18" s="166"/>
      <c r="E18" s="86" t="s">
        <v>29</v>
      </c>
      <c r="F18" s="93">
        <v>2011</v>
      </c>
      <c r="G18" s="115">
        <v>184.28700000000001</v>
      </c>
      <c r="H18" s="93">
        <v>2012</v>
      </c>
      <c r="I18" s="115">
        <v>184.16200000000001</v>
      </c>
      <c r="J18" s="93">
        <v>2023</v>
      </c>
      <c r="K18" s="149"/>
      <c r="L18" s="66">
        <v>184.28700000000001</v>
      </c>
      <c r="M18" s="66">
        <v>184.16200000000001</v>
      </c>
      <c r="N18" s="66">
        <v>184.179</v>
      </c>
      <c r="O18" s="66">
        <v>184.15100000000001</v>
      </c>
      <c r="P18" s="66">
        <v>183.87200000000001</v>
      </c>
      <c r="Q18" s="66">
        <v>183.87100000000001</v>
      </c>
      <c r="R18" s="66">
        <v>183.95</v>
      </c>
      <c r="S18" s="69">
        <v>183.84399999999999</v>
      </c>
      <c r="T18" s="66">
        <v>183.68600000000001</v>
      </c>
      <c r="U18" s="69">
        <v>183.798</v>
      </c>
      <c r="V18" s="66">
        <v>183.52199999999999</v>
      </c>
      <c r="W18" s="66">
        <v>183.58699999999999</v>
      </c>
      <c r="X18" s="66">
        <v>183.56</v>
      </c>
      <c r="Y18" s="66">
        <v>183.52799999999999</v>
      </c>
      <c r="Z18" s="66">
        <v>183.393</v>
      </c>
      <c r="AA18" s="66">
        <v>183.392</v>
      </c>
      <c r="AB18" s="115"/>
      <c r="AC18" s="115"/>
      <c r="AD18" s="115"/>
      <c r="AE18" s="115"/>
      <c r="AF18" s="115"/>
      <c r="AG18" s="115"/>
      <c r="AH18" s="115"/>
      <c r="AI18" s="119"/>
      <c r="AJ18" s="66">
        <f t="shared" si="22"/>
        <v>-0.10800000000000409</v>
      </c>
      <c r="AK18" s="66">
        <f t="shared" si="23"/>
        <v>-0.30699999999998795</v>
      </c>
      <c r="AL18" s="66">
        <f t="shared" si="15"/>
        <v>7.7999999999974534E-2</v>
      </c>
      <c r="AM18" s="66">
        <f t="shared" si="16"/>
        <v>-0.26399999999998158</v>
      </c>
      <c r="AN18" s="66">
        <f t="shared" si="17"/>
        <v>-0.16400000000001569</v>
      </c>
      <c r="AO18" s="66">
        <f t="shared" si="18"/>
        <v>3.8000000000010914E-2</v>
      </c>
      <c r="AP18" s="66">
        <f t="shared" si="0"/>
        <v>-0.16700000000000159</v>
      </c>
      <c r="AQ18" s="115"/>
      <c r="AR18" s="115"/>
      <c r="AS18" s="115"/>
      <c r="AT18" s="115"/>
      <c r="AU18" s="119"/>
      <c r="AV18" s="119"/>
      <c r="AW18" s="95">
        <f t="shared" si="24"/>
        <v>-1.099999999999568E-2</v>
      </c>
      <c r="AX18" s="14">
        <f t="shared" si="25"/>
        <v>-0.28000000000000114</v>
      </c>
      <c r="AY18" s="14">
        <f t="shared" si="19"/>
        <v>-2.7000000000015234E-2</v>
      </c>
      <c r="AZ18" s="14">
        <f t="shared" si="20"/>
        <v>-4.5999999999992269E-2</v>
      </c>
      <c r="BA18" s="14">
        <f t="shared" si="21"/>
        <v>-0.21100000000001273</v>
      </c>
      <c r="BB18" s="14">
        <f t="shared" si="1"/>
        <v>-5.8999999999997499E-2</v>
      </c>
      <c r="BC18" s="14">
        <f t="shared" si="2"/>
        <v>-0.13599999999999568</v>
      </c>
      <c r="BD18" s="115"/>
      <c r="BE18" s="51"/>
      <c r="BF18" s="51"/>
      <c r="BG18" s="51"/>
      <c r="BH18" s="51"/>
    </row>
    <row r="19" spans="1:60" x14ac:dyDescent="0.25">
      <c r="A19" s="65">
        <v>126</v>
      </c>
      <c r="B19" s="66">
        <v>2355392.8330000001</v>
      </c>
      <c r="C19" s="66">
        <v>6132094.6979999999</v>
      </c>
      <c r="D19" s="66">
        <v>166.952</v>
      </c>
      <c r="E19" s="67" t="s">
        <v>123</v>
      </c>
      <c r="F19" s="68">
        <v>2011</v>
      </c>
      <c r="G19" s="66">
        <v>167.392</v>
      </c>
      <c r="H19" s="68">
        <v>2012</v>
      </c>
      <c r="I19" s="66">
        <v>167.34299999999999</v>
      </c>
      <c r="J19" s="68">
        <v>2023</v>
      </c>
      <c r="K19" s="149"/>
      <c r="L19" s="66">
        <v>167.392</v>
      </c>
      <c r="M19" s="66">
        <v>167.34299999999999</v>
      </c>
      <c r="N19" s="66">
        <v>167.328</v>
      </c>
      <c r="O19" s="66">
        <v>167.33799999999999</v>
      </c>
      <c r="P19" s="66">
        <v>167.14699999999999</v>
      </c>
      <c r="Q19" s="66">
        <v>167.321</v>
      </c>
      <c r="R19" s="66">
        <v>167.37700000000001</v>
      </c>
      <c r="S19" s="69">
        <v>167.31200000000001</v>
      </c>
      <c r="T19" s="66">
        <v>167.21</v>
      </c>
      <c r="U19" s="66">
        <v>167.28299999999999</v>
      </c>
      <c r="V19" s="66">
        <v>167.208</v>
      </c>
      <c r="W19" s="66">
        <v>167.21700000000001</v>
      </c>
      <c r="X19" s="66">
        <v>167.21</v>
      </c>
      <c r="Y19" s="66">
        <v>167.19900000000001</v>
      </c>
      <c r="Z19" s="66">
        <v>167.11699999999999</v>
      </c>
      <c r="AA19" s="66">
        <v>167.125</v>
      </c>
      <c r="AB19" s="66">
        <v>167.12899999999999</v>
      </c>
      <c r="AC19" s="66">
        <v>167.15899999999999</v>
      </c>
      <c r="AD19" s="66">
        <v>167.06899999999999</v>
      </c>
      <c r="AE19" s="66">
        <v>167.048</v>
      </c>
      <c r="AF19" s="66">
        <v>167.01599999999999</v>
      </c>
      <c r="AG19" s="66">
        <v>166.97499999999999</v>
      </c>
      <c r="AH19" s="66">
        <v>166.99700000000001</v>
      </c>
      <c r="AI19" s="66">
        <v>167.08099999999999</v>
      </c>
      <c r="AJ19" s="66">
        <f t="shared" si="22"/>
        <v>-6.3999999999992951E-2</v>
      </c>
      <c r="AK19" s="66">
        <f t="shared" si="23"/>
        <v>-0.1810000000000116</v>
      </c>
      <c r="AL19" s="66">
        <f t="shared" si="15"/>
        <v>0.23000000000001819</v>
      </c>
      <c r="AM19" s="66">
        <f t="shared" si="16"/>
        <v>-0.16700000000000159</v>
      </c>
      <c r="AN19" s="66">
        <f t="shared" si="17"/>
        <v>-2.0000000000095497E-3</v>
      </c>
      <c r="AO19" s="66">
        <f t="shared" si="18"/>
        <v>2.0000000000095497E-3</v>
      </c>
      <c r="AP19" s="72">
        <f t="shared" si="0"/>
        <v>-9.3000000000017735E-2</v>
      </c>
      <c r="AQ19" s="72">
        <f t="shared" ref="AQ19:AQ24" si="26">AB19-Z19</f>
        <v>1.2000000000000455E-2</v>
      </c>
      <c r="AR19" s="66">
        <f t="shared" ref="AR19:AR24" si="27">AC19-AB19</f>
        <v>3.0000000000001137E-2</v>
      </c>
      <c r="AS19" s="66">
        <f t="shared" si="4"/>
        <v>-0.11099999999999</v>
      </c>
      <c r="AT19" s="111">
        <f>AG19-AE19</f>
        <v>-7.3000000000007503E-2</v>
      </c>
      <c r="AU19" s="111">
        <f t="shared" si="6"/>
        <v>0.10599999999999454</v>
      </c>
      <c r="AV19" s="14">
        <f t="shared" si="7"/>
        <v>-2.5916666666667254E-2</v>
      </c>
      <c r="AW19" s="73">
        <f t="shared" si="24"/>
        <v>-4.9999999999954525E-3</v>
      </c>
      <c r="AX19" s="72">
        <f t="shared" si="25"/>
        <v>-1.6999999999995907E-2</v>
      </c>
      <c r="AY19" s="72">
        <f t="shared" si="19"/>
        <v>-8.9999999999861302E-3</v>
      </c>
      <c r="AZ19" s="72">
        <f t="shared" si="20"/>
        <v>-2.9000000000024784E-2</v>
      </c>
      <c r="BA19" s="72">
        <f t="shared" si="21"/>
        <v>-6.5999999999974079E-2</v>
      </c>
      <c r="BB19" s="72">
        <f t="shared" si="1"/>
        <v>-1.8000000000000682E-2</v>
      </c>
      <c r="BC19" s="72">
        <f t="shared" si="2"/>
        <v>-7.4000000000012278E-2</v>
      </c>
      <c r="BD19" s="72">
        <f t="shared" ref="BD19:BD24" si="28">(AD19-AA19)/2</f>
        <v>-2.8000000000005798E-2</v>
      </c>
      <c r="BE19" s="72">
        <f t="shared" si="9"/>
        <v>-5.2999999999997272E-2</v>
      </c>
      <c r="BF19" s="72">
        <f t="shared" ref="BF19:BF23" si="29">AH19-AF19</f>
        <v>-1.8999999999977035E-2</v>
      </c>
      <c r="BG19" s="72">
        <f t="shared" ref="BG19:BG24" si="30">(AH19-AD19)/2</f>
        <v>-3.5999999999987153E-2</v>
      </c>
      <c r="BH19" s="72">
        <f t="shared" ref="BH19:BH24" si="31">(AH19-$I19)/(2023-$H19)</f>
        <v>-3.1454545454543202E-2</v>
      </c>
    </row>
    <row r="20" spans="1:60" x14ac:dyDescent="0.25">
      <c r="A20" s="65">
        <v>127</v>
      </c>
      <c r="B20" s="66">
        <v>2195250.7439999999</v>
      </c>
      <c r="C20" s="66">
        <v>6199772.7699999996</v>
      </c>
      <c r="D20" s="66">
        <v>180.93600000000001</v>
      </c>
      <c r="E20" s="67" t="s">
        <v>31</v>
      </c>
      <c r="F20" s="68">
        <v>2011</v>
      </c>
      <c r="G20" s="66">
        <v>183.001</v>
      </c>
      <c r="H20" s="68">
        <v>2012</v>
      </c>
      <c r="I20" s="66">
        <v>183.05600000000001</v>
      </c>
      <c r="J20" s="68">
        <v>2023</v>
      </c>
      <c r="K20" s="149"/>
      <c r="L20" s="66">
        <v>183.001</v>
      </c>
      <c r="M20" s="66">
        <v>183.05600000000001</v>
      </c>
      <c r="N20" s="66">
        <v>182.88900000000001</v>
      </c>
      <c r="O20" s="66">
        <v>182.91300000000001</v>
      </c>
      <c r="P20" s="66">
        <v>182.554</v>
      </c>
      <c r="Q20" s="66">
        <v>182.53</v>
      </c>
      <c r="R20" s="66">
        <v>182.57599999999999</v>
      </c>
      <c r="S20" s="69">
        <v>182.566</v>
      </c>
      <c r="T20" s="66">
        <v>182.357</v>
      </c>
      <c r="U20" s="69">
        <v>182.34100000000001</v>
      </c>
      <c r="V20" s="66">
        <v>182.14400000000001</v>
      </c>
      <c r="W20" s="66">
        <v>182.024</v>
      </c>
      <c r="X20" s="66">
        <v>182.01</v>
      </c>
      <c r="Y20" s="66">
        <v>181.97800000000001</v>
      </c>
      <c r="Z20" s="66">
        <v>181.761</v>
      </c>
      <c r="AA20" s="66">
        <v>181.78700000000001</v>
      </c>
      <c r="AB20" s="66">
        <v>181.65199999999999</v>
      </c>
      <c r="AC20" s="66">
        <v>181.56100000000001</v>
      </c>
      <c r="AD20" s="66">
        <v>181.476</v>
      </c>
      <c r="AE20" s="66">
        <v>181.27699999999999</v>
      </c>
      <c r="AF20" s="66">
        <v>181.18100000000001</v>
      </c>
      <c r="AG20" s="66">
        <v>181.077</v>
      </c>
      <c r="AH20" s="66">
        <v>181.02099999999999</v>
      </c>
      <c r="AI20" s="66">
        <v>181</v>
      </c>
      <c r="AJ20" s="66">
        <f t="shared" si="22"/>
        <v>-0.11199999999999477</v>
      </c>
      <c r="AK20" s="66">
        <f t="shared" si="23"/>
        <v>-0.33500000000000796</v>
      </c>
      <c r="AL20" s="66">
        <f t="shared" si="15"/>
        <v>2.199999999999136E-2</v>
      </c>
      <c r="AM20" s="66">
        <f t="shared" si="16"/>
        <v>-0.21899999999999409</v>
      </c>
      <c r="AN20" s="66">
        <f t="shared" si="17"/>
        <v>-0.21299999999999386</v>
      </c>
      <c r="AO20" s="66">
        <f t="shared" si="18"/>
        <v>-0.13400000000001455</v>
      </c>
      <c r="AP20" s="72">
        <f t="shared" si="0"/>
        <v>-0.24899999999999523</v>
      </c>
      <c r="AQ20" s="72">
        <f t="shared" si="26"/>
        <v>-0.10900000000000887</v>
      </c>
      <c r="AR20" s="66">
        <f t="shared" si="27"/>
        <v>-9.0999999999979764E-2</v>
      </c>
      <c r="AS20" s="66">
        <f t="shared" si="4"/>
        <v>-0.28400000000002024</v>
      </c>
      <c r="AT20" s="111">
        <f t="shared" ref="AT20:AT24" si="32">AG20-AE20</f>
        <v>-0.19999999999998863</v>
      </c>
      <c r="AU20" s="111">
        <f t="shared" si="6"/>
        <v>-7.6999999999998181E-2</v>
      </c>
      <c r="AV20" s="14">
        <f t="shared" si="7"/>
        <v>-0.1667500000000004</v>
      </c>
      <c r="AW20" s="73">
        <f t="shared" si="24"/>
        <v>-0.14300000000000068</v>
      </c>
      <c r="AX20" s="72">
        <f t="shared" si="25"/>
        <v>-0.38300000000000978</v>
      </c>
      <c r="AY20" s="72">
        <f t="shared" si="19"/>
        <v>3.6000000000001364E-2</v>
      </c>
      <c r="AZ20" s="72">
        <f t="shared" si="20"/>
        <v>-0.22499999999999432</v>
      </c>
      <c r="BA20" s="72">
        <f t="shared" si="21"/>
        <v>-0.31700000000000728</v>
      </c>
      <c r="BB20" s="72">
        <f t="shared" si="1"/>
        <v>-4.5999999999992269E-2</v>
      </c>
      <c r="BC20" s="72">
        <f t="shared" si="2"/>
        <v>-0.1910000000000025</v>
      </c>
      <c r="BD20" s="72">
        <f t="shared" si="28"/>
        <v>-0.15550000000000352</v>
      </c>
      <c r="BE20" s="72">
        <f t="shared" si="9"/>
        <v>-0.29499999999998749</v>
      </c>
      <c r="BF20" s="72">
        <f t="shared" si="29"/>
        <v>-0.16000000000002501</v>
      </c>
      <c r="BG20" s="72">
        <f t="shared" si="30"/>
        <v>-0.22750000000000625</v>
      </c>
      <c r="BH20" s="72">
        <f t="shared" si="31"/>
        <v>-0.18500000000000227</v>
      </c>
    </row>
    <row r="21" spans="1:60" x14ac:dyDescent="0.25">
      <c r="A21" s="19">
        <v>128</v>
      </c>
      <c r="B21" s="30">
        <v>2114491.8089999999</v>
      </c>
      <c r="C21" s="30">
        <v>6074855.7050000001</v>
      </c>
      <c r="D21" s="30">
        <v>619.33399999999995</v>
      </c>
      <c r="E21" s="64" t="s">
        <v>32</v>
      </c>
      <c r="F21" s="68">
        <v>2011</v>
      </c>
      <c r="G21" s="66">
        <v>619.38699999999994</v>
      </c>
      <c r="H21" s="68">
        <v>2012</v>
      </c>
      <c r="I21" s="66">
        <v>619.31700000000001</v>
      </c>
      <c r="J21" s="68">
        <v>2023</v>
      </c>
      <c r="K21" s="149"/>
      <c r="L21" s="66">
        <v>619.38699999999994</v>
      </c>
      <c r="M21" s="66">
        <v>619.31700000000001</v>
      </c>
      <c r="N21" s="66">
        <v>619.30499999999995</v>
      </c>
      <c r="O21" s="66">
        <v>619.39400000000001</v>
      </c>
      <c r="P21" s="66">
        <v>619.16999999999996</v>
      </c>
      <c r="Q21" s="66">
        <v>619.25599999999997</v>
      </c>
      <c r="R21" s="66">
        <v>619.40200000000004</v>
      </c>
      <c r="S21" s="69">
        <v>619.37300000000005</v>
      </c>
      <c r="T21" s="66">
        <v>619.245</v>
      </c>
      <c r="U21" s="66">
        <v>619.476</v>
      </c>
      <c r="V21" s="66">
        <v>619.29499999999996</v>
      </c>
      <c r="W21" s="66">
        <v>619.42200000000003</v>
      </c>
      <c r="X21" s="66">
        <v>619.29999999999995</v>
      </c>
      <c r="Y21" s="66">
        <v>619.33199999999999</v>
      </c>
      <c r="Z21" s="66">
        <v>619.32399999999996</v>
      </c>
      <c r="AA21" s="66">
        <v>619.4</v>
      </c>
      <c r="AB21" s="66">
        <v>619.42100000000005</v>
      </c>
      <c r="AC21" s="66">
        <v>619.29200000000003</v>
      </c>
      <c r="AD21" s="66">
        <v>619.428</v>
      </c>
      <c r="AE21" s="66">
        <v>619.25300000000004</v>
      </c>
      <c r="AF21" s="66">
        <v>619.29100000000005</v>
      </c>
      <c r="AG21" s="66">
        <v>619.40599999999995</v>
      </c>
      <c r="AH21" s="66">
        <v>619.48299999999995</v>
      </c>
      <c r="AI21" s="66">
        <v>619.44100000000003</v>
      </c>
      <c r="AJ21" s="66">
        <f t="shared" si="22"/>
        <v>-8.1999999999993634E-2</v>
      </c>
      <c r="AK21" s="66">
        <f t="shared" si="23"/>
        <v>-0.13499999999999091</v>
      </c>
      <c r="AL21" s="66">
        <f t="shared" si="15"/>
        <v>0.23200000000008458</v>
      </c>
      <c r="AM21" s="66">
        <f t="shared" si="16"/>
        <v>-0.15700000000003911</v>
      </c>
      <c r="AN21" s="66">
        <f t="shared" si="17"/>
        <v>4.9999999999954525E-2</v>
      </c>
      <c r="AO21" s="66">
        <f t="shared" si="18"/>
        <v>4.9999999999954525E-3</v>
      </c>
      <c r="AP21" s="72">
        <f t="shared" si="0"/>
        <v>2.4000000000000909E-2</v>
      </c>
      <c r="AQ21" s="72">
        <f t="shared" si="26"/>
        <v>9.7000000000093678E-2</v>
      </c>
      <c r="AR21" s="66">
        <f t="shared" si="27"/>
        <v>-0.1290000000000191</v>
      </c>
      <c r="AS21" s="66">
        <f t="shared" si="4"/>
        <v>-3.8999999999987267E-2</v>
      </c>
      <c r="AT21" s="111">
        <f t="shared" si="32"/>
        <v>0.15299999999990632</v>
      </c>
      <c r="AU21" s="111">
        <f t="shared" si="6"/>
        <v>3.5000000000081855E-2</v>
      </c>
      <c r="AV21" s="14">
        <f t="shared" si="7"/>
        <v>4.500000000007276E-3</v>
      </c>
      <c r="AW21" s="73">
        <f t="shared" si="24"/>
        <v>7.6999999999998181E-2</v>
      </c>
      <c r="AX21" s="72">
        <f t="shared" si="25"/>
        <v>-0.13800000000003365</v>
      </c>
      <c r="AY21" s="72">
        <f t="shared" si="19"/>
        <v>0.11700000000007549</v>
      </c>
      <c r="AZ21" s="72">
        <f t="shared" si="20"/>
        <v>0.1029999999999518</v>
      </c>
      <c r="BA21" s="72">
        <f t="shared" si="21"/>
        <v>-5.3999999999973625E-2</v>
      </c>
      <c r="BB21" s="72">
        <f t="shared" si="1"/>
        <v>-9.0000000000031832E-2</v>
      </c>
      <c r="BC21" s="72">
        <f t="shared" si="2"/>
        <v>6.7999999999983629E-2</v>
      </c>
      <c r="BD21" s="72">
        <f t="shared" si="28"/>
        <v>1.4000000000010004E-2</v>
      </c>
      <c r="BE21" s="72">
        <f t="shared" si="9"/>
        <v>-0.13699999999994361</v>
      </c>
      <c r="BF21" s="72">
        <f t="shared" si="29"/>
        <v>0.19199999999989359</v>
      </c>
      <c r="BG21" s="72">
        <f t="shared" si="30"/>
        <v>2.7499999999974989E-2</v>
      </c>
      <c r="BH21" s="72">
        <f t="shared" si="31"/>
        <v>1.5090909090903633E-2</v>
      </c>
    </row>
    <row r="22" spans="1:60" x14ac:dyDescent="0.25">
      <c r="A22" s="65">
        <v>129</v>
      </c>
      <c r="B22" s="66">
        <v>2198475.3659999999</v>
      </c>
      <c r="C22" s="66">
        <v>6133714.1909999996</v>
      </c>
      <c r="D22" s="66">
        <v>144.40799999999999</v>
      </c>
      <c r="E22" s="67" t="s">
        <v>33</v>
      </c>
      <c r="F22" s="68">
        <v>2011</v>
      </c>
      <c r="G22" s="66">
        <v>146.464</v>
      </c>
      <c r="H22" s="68">
        <v>2012</v>
      </c>
      <c r="I22" s="66">
        <v>146.37700000000001</v>
      </c>
      <c r="J22" s="68">
        <v>2023</v>
      </c>
      <c r="K22" s="149"/>
      <c r="L22" s="66">
        <v>146.464</v>
      </c>
      <c r="M22" s="66">
        <v>146.37700000000001</v>
      </c>
      <c r="N22" s="66">
        <v>146.34299999999999</v>
      </c>
      <c r="O22" s="66">
        <v>146.31200000000001</v>
      </c>
      <c r="P22" s="66">
        <v>146.02699999999999</v>
      </c>
      <c r="Q22" s="66">
        <v>145.982</v>
      </c>
      <c r="R22" s="66">
        <v>146.05199999999999</v>
      </c>
      <c r="S22" s="69">
        <v>145.89599999999999</v>
      </c>
      <c r="T22" s="66">
        <v>145.75</v>
      </c>
      <c r="U22" s="69">
        <v>145.70599999999999</v>
      </c>
      <c r="V22" s="66">
        <v>145.476</v>
      </c>
      <c r="W22" s="66">
        <v>145.52000000000001</v>
      </c>
      <c r="X22" s="66">
        <v>145.47999999999999</v>
      </c>
      <c r="Y22" s="66">
        <v>145.453</v>
      </c>
      <c r="Z22" s="66">
        <v>145.309</v>
      </c>
      <c r="AA22" s="66">
        <v>145.27600000000001</v>
      </c>
      <c r="AB22" s="66">
        <v>145.19300000000001</v>
      </c>
      <c r="AC22" s="66">
        <v>144.999</v>
      </c>
      <c r="AD22" s="66">
        <v>144.93899999999999</v>
      </c>
      <c r="AE22" s="66">
        <v>144.77099999999999</v>
      </c>
      <c r="AF22" s="66">
        <v>144.66900000000001</v>
      </c>
      <c r="AG22" s="66">
        <v>144.52600000000001</v>
      </c>
      <c r="AH22" s="66">
        <v>144.52699999999999</v>
      </c>
      <c r="AI22" s="66">
        <v>144.43899999999999</v>
      </c>
      <c r="AJ22" s="66">
        <f t="shared" si="22"/>
        <v>-0.12100000000000932</v>
      </c>
      <c r="AK22" s="66">
        <f t="shared" si="23"/>
        <v>-0.3160000000000025</v>
      </c>
      <c r="AL22" s="66">
        <f t="shared" si="15"/>
        <v>2.5000000000005684E-2</v>
      </c>
      <c r="AM22" s="66">
        <f t="shared" si="16"/>
        <v>-0.3019999999999925</v>
      </c>
      <c r="AN22" s="66">
        <f t="shared" si="17"/>
        <v>-0.27400000000000091</v>
      </c>
      <c r="AO22" s="66">
        <f t="shared" si="18"/>
        <v>3.9999999999906777E-3</v>
      </c>
      <c r="AP22" s="72">
        <f t="shared" si="0"/>
        <v>-0.17099999999999227</v>
      </c>
      <c r="AQ22" s="72">
        <f t="shared" si="26"/>
        <v>-0.11599999999998545</v>
      </c>
      <c r="AR22" s="66">
        <f t="shared" si="27"/>
        <v>-0.19400000000001683</v>
      </c>
      <c r="AS22" s="66">
        <f t="shared" si="4"/>
        <v>-0.22800000000000864</v>
      </c>
      <c r="AT22" s="111">
        <f t="shared" si="32"/>
        <v>-0.24499999999997613</v>
      </c>
      <c r="AU22" s="111">
        <f t="shared" si="6"/>
        <v>-8.7000000000017508E-2</v>
      </c>
      <c r="AV22" s="14">
        <f t="shared" si="7"/>
        <v>-0.16875000000000048</v>
      </c>
      <c r="AW22" s="73">
        <f t="shared" si="24"/>
        <v>-6.4999999999997726E-2</v>
      </c>
      <c r="AX22" s="72">
        <f t="shared" si="25"/>
        <v>-0.33000000000001251</v>
      </c>
      <c r="AY22" s="72">
        <f t="shared" si="19"/>
        <v>-8.6000000000012733E-2</v>
      </c>
      <c r="AZ22" s="72">
        <f t="shared" si="20"/>
        <v>-0.18999999999999773</v>
      </c>
      <c r="BA22" s="72">
        <f t="shared" si="21"/>
        <v>-0.18599999999997863</v>
      </c>
      <c r="BB22" s="72">
        <f t="shared" si="1"/>
        <v>-6.7000000000007276E-2</v>
      </c>
      <c r="BC22" s="72">
        <f t="shared" si="2"/>
        <v>-0.1769999999999925</v>
      </c>
      <c r="BD22" s="72">
        <f t="shared" si="28"/>
        <v>-0.16850000000000875</v>
      </c>
      <c r="BE22" s="72">
        <f t="shared" si="9"/>
        <v>-0.26999999999998181</v>
      </c>
      <c r="BF22" s="72">
        <f t="shared" si="29"/>
        <v>-0.14200000000002433</v>
      </c>
      <c r="BG22" s="72">
        <f t="shared" si="30"/>
        <v>-0.20600000000000307</v>
      </c>
      <c r="BH22" s="72">
        <f t="shared" si="31"/>
        <v>-0.16818181818182024</v>
      </c>
    </row>
    <row r="23" spans="1:60" x14ac:dyDescent="0.25">
      <c r="A23" s="65">
        <v>130</v>
      </c>
      <c r="B23" s="66">
        <v>2365903.804</v>
      </c>
      <c r="C23" s="66">
        <v>6000988.8059999999</v>
      </c>
      <c r="D23" s="66">
        <v>73.108000000000004</v>
      </c>
      <c r="E23" s="67" t="s">
        <v>34</v>
      </c>
      <c r="F23" s="68">
        <v>2011</v>
      </c>
      <c r="G23" s="66">
        <v>73.272999999999996</v>
      </c>
      <c r="H23" s="68">
        <v>2012</v>
      </c>
      <c r="I23" s="66">
        <v>73.221000000000004</v>
      </c>
      <c r="J23" s="68">
        <v>2023</v>
      </c>
      <c r="K23" s="149"/>
      <c r="L23" s="66">
        <v>73.272999999999996</v>
      </c>
      <c r="M23" s="66">
        <v>73.221000000000004</v>
      </c>
      <c r="N23" s="66">
        <v>73.236999999999995</v>
      </c>
      <c r="O23" s="66">
        <v>73.141999999999996</v>
      </c>
      <c r="P23" s="66">
        <v>73.058000000000007</v>
      </c>
      <c r="Q23" s="66">
        <v>73.350999999999999</v>
      </c>
      <c r="R23" s="66">
        <v>73.265000000000001</v>
      </c>
      <c r="S23" s="69">
        <v>73.165000000000006</v>
      </c>
      <c r="T23" s="66">
        <v>73.120999999999995</v>
      </c>
      <c r="U23" s="66">
        <v>73.040999999999997</v>
      </c>
      <c r="V23" s="66">
        <v>73.165000000000006</v>
      </c>
      <c r="W23" s="66">
        <v>73.216999999999999</v>
      </c>
      <c r="X23" s="66">
        <v>73.150000000000006</v>
      </c>
      <c r="Y23" s="66">
        <v>72.986999999999995</v>
      </c>
      <c r="Z23" s="66">
        <v>73.13</v>
      </c>
      <c r="AA23" s="66">
        <v>73.13</v>
      </c>
      <c r="AB23" s="66">
        <v>73.171999999999997</v>
      </c>
      <c r="AC23" s="66">
        <v>73.058000000000007</v>
      </c>
      <c r="AD23" s="66">
        <v>73.094999999999999</v>
      </c>
      <c r="AE23" s="66">
        <v>72.923000000000002</v>
      </c>
      <c r="AF23" s="66">
        <v>72.966999999999999</v>
      </c>
      <c r="AG23" s="66">
        <v>73.14</v>
      </c>
      <c r="AH23" s="66">
        <v>73.048000000000002</v>
      </c>
      <c r="AI23" s="66">
        <v>73.212000000000003</v>
      </c>
      <c r="AJ23" s="66">
        <f t="shared" si="22"/>
        <v>-3.6000000000001364E-2</v>
      </c>
      <c r="AK23" s="66">
        <f t="shared" si="23"/>
        <v>-0.17899999999998784</v>
      </c>
      <c r="AL23" s="66">
        <f t="shared" si="15"/>
        <v>0.20699999999999363</v>
      </c>
      <c r="AM23" s="66">
        <f t="shared" si="16"/>
        <v>-0.14400000000000546</v>
      </c>
      <c r="AN23" s="66">
        <f t="shared" si="17"/>
        <v>4.4000000000011141E-2</v>
      </c>
      <c r="AO23" s="66">
        <f t="shared" si="18"/>
        <v>-1.5000000000000568E-2</v>
      </c>
      <c r="AP23" s="72">
        <f t="shared" si="0"/>
        <v>-2.0000000000010232E-2</v>
      </c>
      <c r="AQ23" s="72">
        <f t="shared" si="26"/>
        <v>4.2000000000001592E-2</v>
      </c>
      <c r="AR23" s="66">
        <f t="shared" si="27"/>
        <v>-0.11399999999999011</v>
      </c>
      <c r="AS23" s="66">
        <f t="shared" si="4"/>
        <v>-0.13500000000000512</v>
      </c>
      <c r="AT23" s="111">
        <f t="shared" si="32"/>
        <v>0.21699999999999875</v>
      </c>
      <c r="AU23" s="111">
        <f t="shared" si="6"/>
        <v>7.2000000000002728E-2</v>
      </c>
      <c r="AV23" s="14">
        <f t="shared" si="7"/>
        <v>-5.0833333333327362E-3</v>
      </c>
      <c r="AW23" s="73">
        <f t="shared" si="24"/>
        <v>-7.9000000000007731E-2</v>
      </c>
      <c r="AX23" s="72">
        <f t="shared" si="25"/>
        <v>0.20900000000000318</v>
      </c>
      <c r="AY23" s="72">
        <f t="shared" si="19"/>
        <v>-0.18599999999999284</v>
      </c>
      <c r="AZ23" s="72">
        <f t="shared" si="20"/>
        <v>-0.12400000000000944</v>
      </c>
      <c r="BA23" s="72">
        <f t="shared" si="21"/>
        <v>0.17600000000000193</v>
      </c>
      <c r="BB23" s="72">
        <f t="shared" si="1"/>
        <v>-0.23000000000000398</v>
      </c>
      <c r="BC23" s="72">
        <f t="shared" si="2"/>
        <v>0.14300000000000068</v>
      </c>
      <c r="BD23" s="72">
        <f t="shared" si="28"/>
        <v>-1.7499999999998295E-2</v>
      </c>
      <c r="BE23" s="72">
        <f t="shared" si="9"/>
        <v>-0.12800000000000011</v>
      </c>
      <c r="BF23" s="72">
        <f t="shared" si="29"/>
        <v>8.100000000000307E-2</v>
      </c>
      <c r="BG23" s="72">
        <f t="shared" si="30"/>
        <v>-2.3499999999998522E-2</v>
      </c>
      <c r="BH23" s="72">
        <f t="shared" si="31"/>
        <v>-1.5727272727272892E-2</v>
      </c>
    </row>
    <row r="24" spans="1:60" x14ac:dyDescent="0.25">
      <c r="A24" s="65">
        <v>131</v>
      </c>
      <c r="B24" s="66">
        <v>2332746.3470000001</v>
      </c>
      <c r="C24" s="66">
        <v>6191751.9289999995</v>
      </c>
      <c r="D24" s="66">
        <v>242.68199999999999</v>
      </c>
      <c r="E24" s="67" t="s">
        <v>124</v>
      </c>
      <c r="F24" s="68">
        <v>2011</v>
      </c>
      <c r="G24" s="66">
        <v>243.17500000000001</v>
      </c>
      <c r="H24" s="68">
        <v>2012</v>
      </c>
      <c r="I24" s="66">
        <v>243.22200000000001</v>
      </c>
      <c r="J24" s="68">
        <v>2023</v>
      </c>
      <c r="K24" s="149"/>
      <c r="L24" s="66">
        <v>243.17500000000001</v>
      </c>
      <c r="M24" s="66">
        <v>243.22200000000001</v>
      </c>
      <c r="N24" s="66">
        <v>243.19300000000001</v>
      </c>
      <c r="O24" s="66">
        <v>243.26499999999999</v>
      </c>
      <c r="P24" s="66">
        <v>243.01</v>
      </c>
      <c r="Q24" s="66">
        <v>243.15600000000001</v>
      </c>
      <c r="R24" s="66">
        <v>243.09</v>
      </c>
      <c r="S24" s="69">
        <v>243.107</v>
      </c>
      <c r="T24" s="66">
        <v>242.94800000000001</v>
      </c>
      <c r="U24" s="69">
        <v>242.964</v>
      </c>
      <c r="V24" s="66">
        <v>242.928</v>
      </c>
      <c r="W24" s="66">
        <v>242.959</v>
      </c>
      <c r="X24" s="66">
        <v>243</v>
      </c>
      <c r="Y24" s="66">
        <v>243.131</v>
      </c>
      <c r="Z24" s="66">
        <v>242.79</v>
      </c>
      <c r="AA24" s="66">
        <v>242.959</v>
      </c>
      <c r="AB24" s="66">
        <v>242.92699999999999</v>
      </c>
      <c r="AC24" s="66">
        <v>242.94900000000001</v>
      </c>
      <c r="AD24" s="66">
        <v>242.85400000000001</v>
      </c>
      <c r="AE24" s="66">
        <v>242.95400000000001</v>
      </c>
      <c r="AF24" s="66">
        <v>242.65100000000001</v>
      </c>
      <c r="AG24" s="66">
        <v>242.88499999999999</v>
      </c>
      <c r="AH24" s="66">
        <v>242.97300000000001</v>
      </c>
      <c r="AI24" s="66">
        <v>242.738</v>
      </c>
      <c r="AJ24" s="66">
        <f t="shared" si="22"/>
        <v>1.8000000000000682E-2</v>
      </c>
      <c r="AK24" s="66">
        <f t="shared" si="23"/>
        <v>-0.18300000000002115</v>
      </c>
      <c r="AL24" s="66">
        <f t="shared" si="15"/>
        <v>8.0000000000012506E-2</v>
      </c>
      <c r="AM24" s="66">
        <f t="shared" si="16"/>
        <v>-0.14199999999999591</v>
      </c>
      <c r="AN24" s="66">
        <f t="shared" si="17"/>
        <v>-2.0000000000010232E-2</v>
      </c>
      <c r="AO24" s="66">
        <f t="shared" si="18"/>
        <v>7.2000000000002728E-2</v>
      </c>
      <c r="AP24" s="72">
        <f t="shared" si="0"/>
        <v>-0.21000000000000796</v>
      </c>
      <c r="AQ24" s="72">
        <f t="shared" si="26"/>
        <v>0.13700000000000045</v>
      </c>
      <c r="AR24" s="66">
        <f t="shared" si="27"/>
        <v>2.2000000000019782E-2</v>
      </c>
      <c r="AS24" s="66">
        <f t="shared" si="4"/>
        <v>4.9999999999954525E-3</v>
      </c>
      <c r="AT24" s="111">
        <f t="shared" si="32"/>
        <v>-6.9000000000016826E-2</v>
      </c>
      <c r="AU24" s="111">
        <f t="shared" si="6"/>
        <v>-0.14699999999999136</v>
      </c>
      <c r="AV24" s="14">
        <f t="shared" si="7"/>
        <v>-3.6416666666667652E-2</v>
      </c>
      <c r="AW24" s="73">
        <f t="shared" si="24"/>
        <v>4.2999999999977945E-2</v>
      </c>
      <c r="AX24" s="72">
        <f t="shared" si="25"/>
        <v>-0.10899999999998045</v>
      </c>
      <c r="AY24" s="72">
        <f t="shared" si="19"/>
        <v>-4.9000000000006594E-2</v>
      </c>
      <c r="AZ24" s="72">
        <f t="shared" si="20"/>
        <v>-0.14300000000000068</v>
      </c>
      <c r="BA24" s="72">
        <f t="shared" si="21"/>
        <v>-4.9999999999954525E-3</v>
      </c>
      <c r="BB24" s="72">
        <f t="shared" si="1"/>
        <v>0.17199999999999704</v>
      </c>
      <c r="BC24" s="72">
        <f t="shared" si="2"/>
        <v>-0.17199999999999704</v>
      </c>
      <c r="BD24" s="72">
        <f t="shared" si="28"/>
        <v>-5.2499999999994884E-2</v>
      </c>
      <c r="BE24" s="72">
        <f t="shared" si="9"/>
        <v>-0.20300000000000296</v>
      </c>
      <c r="BF24" s="72">
        <f>AH24-AF24</f>
        <v>0.32200000000000273</v>
      </c>
      <c r="BG24" s="72">
        <f t="shared" si="30"/>
        <v>5.9499999999999886E-2</v>
      </c>
      <c r="BH24" s="72">
        <f t="shared" si="31"/>
        <v>-2.2636363636363201E-2</v>
      </c>
    </row>
    <row r="25" spans="1:60" s="94" customFormat="1" x14ac:dyDescent="0.25">
      <c r="A25" s="36">
        <v>132</v>
      </c>
      <c r="B25" s="164" t="s">
        <v>28</v>
      </c>
      <c r="C25" s="165"/>
      <c r="D25" s="166"/>
      <c r="E25" s="87" t="s">
        <v>36</v>
      </c>
      <c r="F25" s="93">
        <v>2011</v>
      </c>
      <c r="G25" s="115">
        <v>127.21</v>
      </c>
      <c r="H25" s="93">
        <v>2012</v>
      </c>
      <c r="I25" s="115">
        <v>126.93600000000001</v>
      </c>
      <c r="J25" s="93">
        <v>2023</v>
      </c>
      <c r="K25" s="149"/>
      <c r="L25" s="66">
        <v>127.21</v>
      </c>
      <c r="M25" s="66">
        <v>126.93600000000001</v>
      </c>
      <c r="N25" s="66">
        <v>126.81699999999999</v>
      </c>
      <c r="O25" s="66">
        <v>126.39700000000001</v>
      </c>
      <c r="P25" s="66">
        <v>126.107</v>
      </c>
      <c r="Q25" s="66">
        <v>125.86499999999999</v>
      </c>
      <c r="R25" s="66">
        <v>125.789</v>
      </c>
      <c r="S25" s="69">
        <v>125.34399999999999</v>
      </c>
      <c r="T25" s="66">
        <v>125.105</v>
      </c>
      <c r="U25" s="66">
        <v>124.91500000000001</v>
      </c>
      <c r="V25" s="66">
        <v>124.678</v>
      </c>
      <c r="W25" s="66">
        <v>124.511</v>
      </c>
      <c r="X25" s="66">
        <v>124.45</v>
      </c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9"/>
      <c r="AJ25" s="66">
        <f t="shared" si="22"/>
        <v>-0.39300000000000068</v>
      </c>
      <c r="AK25" s="66">
        <f t="shared" si="23"/>
        <v>-0.70999999999999375</v>
      </c>
      <c r="AL25" s="66">
        <f t="shared" si="15"/>
        <v>-0.31799999999999784</v>
      </c>
      <c r="AM25" s="66">
        <f t="shared" si="16"/>
        <v>-0.6839999999999975</v>
      </c>
      <c r="AN25" s="66">
        <f t="shared" si="17"/>
        <v>-0.42700000000000671</v>
      </c>
      <c r="AO25" s="66">
        <f t="shared" si="18"/>
        <v>-0.22799999999999443</v>
      </c>
      <c r="AP25" s="115"/>
      <c r="AQ25" s="115"/>
      <c r="AR25" s="115"/>
      <c r="AS25" s="115"/>
      <c r="AT25" s="115"/>
      <c r="AU25" s="119"/>
      <c r="AV25" s="119"/>
      <c r="AW25" s="95">
        <f t="shared" si="24"/>
        <v>-0.53900000000000148</v>
      </c>
      <c r="AX25" s="14">
        <f t="shared" si="25"/>
        <v>-0.53200000000001069</v>
      </c>
      <c r="AY25" s="14">
        <f t="shared" si="19"/>
        <v>-0.5210000000000008</v>
      </c>
      <c r="AZ25" s="14">
        <f t="shared" si="20"/>
        <v>-0.42899999999998784</v>
      </c>
      <c r="BA25" s="14">
        <f t="shared" si="21"/>
        <v>-0.40400000000001057</v>
      </c>
      <c r="BB25" s="115"/>
      <c r="BC25" s="115"/>
      <c r="BD25" s="115"/>
      <c r="BE25" s="51"/>
      <c r="BF25" s="51"/>
      <c r="BG25" s="51"/>
      <c r="BH25" s="51"/>
    </row>
    <row r="26" spans="1:60" x14ac:dyDescent="0.25">
      <c r="A26" s="65" t="s">
        <v>37</v>
      </c>
      <c r="B26" s="66">
        <v>2249261.1239999998</v>
      </c>
      <c r="C26" s="66">
        <v>6122672.2829999998</v>
      </c>
      <c r="D26" s="66">
        <v>126.038</v>
      </c>
      <c r="E26" s="85" t="s">
        <v>125</v>
      </c>
      <c r="F26" s="68">
        <v>2018</v>
      </c>
      <c r="G26" s="66">
        <v>127.026</v>
      </c>
      <c r="H26" s="68">
        <v>2019</v>
      </c>
      <c r="I26" s="66">
        <v>126.98</v>
      </c>
      <c r="J26" s="68">
        <v>2023</v>
      </c>
      <c r="K26" s="149"/>
      <c r="L26" s="66" t="s">
        <v>21</v>
      </c>
      <c r="M26" s="66" t="s">
        <v>21</v>
      </c>
      <c r="N26" s="66" t="s">
        <v>21</v>
      </c>
      <c r="O26" s="66" t="s">
        <v>21</v>
      </c>
      <c r="P26" s="66" t="s">
        <v>21</v>
      </c>
      <c r="Q26" s="66" t="s">
        <v>21</v>
      </c>
      <c r="R26" s="66" t="s">
        <v>21</v>
      </c>
      <c r="S26" s="69" t="s">
        <v>21</v>
      </c>
      <c r="T26" s="66" t="s">
        <v>21</v>
      </c>
      <c r="U26" s="66" t="s">
        <v>21</v>
      </c>
      <c r="V26" s="66" t="s">
        <v>21</v>
      </c>
      <c r="W26" s="66" t="s">
        <v>21</v>
      </c>
      <c r="X26" s="66" t="s">
        <v>21</v>
      </c>
      <c r="Y26" s="66"/>
      <c r="Z26" s="66">
        <v>127.026</v>
      </c>
      <c r="AA26" s="66">
        <v>126.98</v>
      </c>
      <c r="AB26" s="66">
        <v>126.892</v>
      </c>
      <c r="AC26" s="66">
        <v>126.696</v>
      </c>
      <c r="AD26" s="66">
        <v>126.601</v>
      </c>
      <c r="AE26" s="66">
        <v>126.423</v>
      </c>
      <c r="AF26" s="66">
        <v>126.25</v>
      </c>
      <c r="AG26" s="66">
        <v>126.191</v>
      </c>
      <c r="AH26" s="66">
        <v>126.13500000000001</v>
      </c>
      <c r="AI26" s="66">
        <v>126.18300000000001</v>
      </c>
      <c r="AJ26" s="66" t="s">
        <v>21</v>
      </c>
      <c r="AK26" s="66" t="s">
        <v>21</v>
      </c>
      <c r="AL26" s="72" t="s">
        <v>21</v>
      </c>
      <c r="AM26" s="72" t="s">
        <v>21</v>
      </c>
      <c r="AN26" s="72" t="s">
        <v>21</v>
      </c>
      <c r="AO26" s="72" t="s">
        <v>21</v>
      </c>
      <c r="AP26" s="72"/>
      <c r="AQ26" s="72">
        <f>AB26-Z26</f>
        <v>-0.13400000000000034</v>
      </c>
      <c r="AR26" s="72">
        <f>AC26-AB26</f>
        <v>-0.19599999999999795</v>
      </c>
      <c r="AS26" s="66">
        <f t="shared" si="4"/>
        <v>-0.27299999999999613</v>
      </c>
      <c r="AT26" s="111">
        <f>AG26-AE26</f>
        <v>-0.23199999999999932</v>
      </c>
      <c r="AU26" s="111">
        <f t="shared" si="6"/>
        <v>-7.9999999999955662E-3</v>
      </c>
      <c r="AV26" s="108">
        <f t="shared" si="7"/>
        <v>-0.16859999999999786</v>
      </c>
      <c r="AW26" s="73" t="s">
        <v>21</v>
      </c>
      <c r="AX26" s="72" t="s">
        <v>21</v>
      </c>
      <c r="AY26" s="72" t="s">
        <v>21</v>
      </c>
      <c r="AZ26" s="72" t="s">
        <v>21</v>
      </c>
      <c r="BA26" s="72" t="s">
        <v>21</v>
      </c>
      <c r="BB26" s="72"/>
      <c r="BC26" s="72" t="s">
        <v>21</v>
      </c>
      <c r="BD26" s="72">
        <f t="shared" ref="BD26:BD27" si="33">(AD26-AA26)/2</f>
        <v>-0.18950000000000244</v>
      </c>
      <c r="BE26" s="72">
        <f t="shared" si="9"/>
        <v>-0.35099999999999909</v>
      </c>
      <c r="BF26" s="72">
        <f t="shared" ref="BF26:BF27" si="34">AH26-AF26</f>
        <v>-0.11499999999999488</v>
      </c>
      <c r="BG26" s="72">
        <f t="shared" ref="BG26:BG27" si="35">(AH26-AD26)/2</f>
        <v>-0.23299999999999699</v>
      </c>
      <c r="BH26" s="72">
        <f t="shared" ref="BH26:BH27" si="36">(AH26-$I26)/(2023-$H26)</f>
        <v>-0.21124999999999972</v>
      </c>
    </row>
    <row r="27" spans="1:60" x14ac:dyDescent="0.25">
      <c r="A27" s="65">
        <v>133</v>
      </c>
      <c r="B27" s="66">
        <v>2273311.378</v>
      </c>
      <c r="C27" s="66">
        <v>6111332.2589999996</v>
      </c>
      <c r="D27" s="66">
        <v>117.991</v>
      </c>
      <c r="E27" s="67" t="s">
        <v>39</v>
      </c>
      <c r="F27" s="68">
        <v>2011</v>
      </c>
      <c r="G27" s="66">
        <v>122.331</v>
      </c>
      <c r="H27" s="68">
        <v>2012</v>
      </c>
      <c r="I27" s="66">
        <v>122.215</v>
      </c>
      <c r="J27" s="68">
        <v>2023</v>
      </c>
      <c r="K27" s="149"/>
      <c r="L27" s="66">
        <v>122.331</v>
      </c>
      <c r="M27" s="66">
        <v>122.215</v>
      </c>
      <c r="N27" s="66">
        <v>121.98399999999999</v>
      </c>
      <c r="O27" s="66">
        <v>121.74</v>
      </c>
      <c r="P27" s="66">
        <v>121.358</v>
      </c>
      <c r="Q27" s="66">
        <v>121.282</v>
      </c>
      <c r="R27" s="66">
        <v>121.123</v>
      </c>
      <c r="S27" s="69">
        <v>120.81699999999999</v>
      </c>
      <c r="T27" s="66">
        <v>120.492</v>
      </c>
      <c r="U27" s="69">
        <v>120.426</v>
      </c>
      <c r="V27" s="66">
        <v>120.029</v>
      </c>
      <c r="W27" s="66">
        <v>119.93300000000001</v>
      </c>
      <c r="X27" s="66">
        <v>119.87</v>
      </c>
      <c r="Y27" s="66">
        <v>119.664</v>
      </c>
      <c r="Z27" s="66">
        <v>119.51</v>
      </c>
      <c r="AA27" s="66">
        <v>119.40900000000001</v>
      </c>
      <c r="AB27" s="66">
        <v>119.279</v>
      </c>
      <c r="AC27" s="66">
        <v>118.926</v>
      </c>
      <c r="AD27" s="66">
        <v>118.78100000000001</v>
      </c>
      <c r="AE27" s="66">
        <v>118.54900000000001</v>
      </c>
      <c r="AF27" s="66">
        <v>118.28700000000001</v>
      </c>
      <c r="AG27" s="66">
        <v>118.164</v>
      </c>
      <c r="AH27" s="66">
        <v>118.14100000000001</v>
      </c>
      <c r="AI27" s="66">
        <v>118.145</v>
      </c>
      <c r="AJ27" s="66">
        <f t="shared" ref="AJ27:AJ35" si="37">N27-L27</f>
        <v>-0.34700000000000841</v>
      </c>
      <c r="AK27" s="66">
        <f t="shared" ref="AK27:AK35" si="38">P27-N27</f>
        <v>-0.62599999999999056</v>
      </c>
      <c r="AL27" s="72">
        <f t="shared" ref="AL27:AL52" si="39">R27-P27</f>
        <v>-0.23499999999999943</v>
      </c>
      <c r="AM27" s="72">
        <f t="shared" ref="AM27:AM52" si="40">T27-R27</f>
        <v>-0.63100000000000023</v>
      </c>
      <c r="AN27" s="72">
        <f t="shared" ref="AN27:AN52" si="41">V27-T27</f>
        <v>-0.46300000000000807</v>
      </c>
      <c r="AO27" s="72">
        <f>X27-V27</f>
        <v>-0.15899999999999181</v>
      </c>
      <c r="AP27" s="72">
        <f>Z27-X27</f>
        <v>-0.35999999999999943</v>
      </c>
      <c r="AQ27" s="72">
        <f>AB27-Z27</f>
        <v>-0.23100000000000875</v>
      </c>
      <c r="AR27" s="72">
        <f>AC27-AB27</f>
        <v>-0.35299999999999443</v>
      </c>
      <c r="AS27" s="66">
        <f t="shared" si="4"/>
        <v>-0.37699999999999534</v>
      </c>
      <c r="AT27" s="111">
        <f>AG27-AE27</f>
        <v>-0.38500000000000512</v>
      </c>
      <c r="AU27" s="111">
        <f t="shared" si="6"/>
        <v>-1.9000000000005457E-2</v>
      </c>
      <c r="AV27" s="14">
        <f t="shared" si="7"/>
        <v>-0.34883333333333394</v>
      </c>
      <c r="AW27" s="73">
        <f t="shared" ref="AW27:AW35" si="42">O27-M27</f>
        <v>-0.47500000000000853</v>
      </c>
      <c r="AX27" s="72">
        <f t="shared" ref="AX27:AX35" si="43">Q27-O27</f>
        <v>-0.45799999999999841</v>
      </c>
      <c r="AY27" s="72">
        <f t="shared" ref="AY27:AY52" si="44">S27-Q27</f>
        <v>-0.46500000000000341</v>
      </c>
      <c r="AZ27" s="72">
        <f t="shared" ref="AZ27:AZ52" si="45">U27-S27</f>
        <v>-0.39099999999999113</v>
      </c>
      <c r="BA27" s="72">
        <f>W27-U27</f>
        <v>-0.492999999999995</v>
      </c>
      <c r="BB27" s="72">
        <f>Y27-W27</f>
        <v>-0.26900000000000546</v>
      </c>
      <c r="BC27" s="72">
        <f>AA27-Y27</f>
        <v>-0.25499999999999545</v>
      </c>
      <c r="BD27" s="72">
        <f t="shared" si="33"/>
        <v>-0.31400000000000006</v>
      </c>
      <c r="BE27" s="72">
        <f t="shared" si="9"/>
        <v>-0.49399999999999977</v>
      </c>
      <c r="BF27" s="72">
        <f t="shared" si="34"/>
        <v>-0.1460000000000008</v>
      </c>
      <c r="BG27" s="72">
        <f t="shared" si="35"/>
        <v>-0.32000000000000028</v>
      </c>
      <c r="BH27" s="72">
        <f t="shared" si="36"/>
        <v>-0.37036363636363617</v>
      </c>
    </row>
    <row r="28" spans="1:60" s="94" customFormat="1" x14ac:dyDescent="0.25">
      <c r="A28" s="36">
        <v>134</v>
      </c>
      <c r="B28" s="164" t="s">
        <v>28</v>
      </c>
      <c r="C28" s="165"/>
      <c r="D28" s="166"/>
      <c r="E28" s="86" t="s">
        <v>40</v>
      </c>
      <c r="F28" s="93">
        <v>2011</v>
      </c>
      <c r="G28" s="115">
        <v>290.16399999999999</v>
      </c>
      <c r="H28" s="93">
        <v>2012</v>
      </c>
      <c r="I28" s="115">
        <v>290.245</v>
      </c>
      <c r="J28" s="93">
        <v>2023</v>
      </c>
      <c r="K28" s="149"/>
      <c r="L28" s="66">
        <v>290.16399999999999</v>
      </c>
      <c r="M28" s="66">
        <v>290.245</v>
      </c>
      <c r="N28" s="66">
        <v>290.02600000000001</v>
      </c>
      <c r="O28" s="66">
        <v>290.09899999999999</v>
      </c>
      <c r="P28" s="66">
        <v>289.91800000000001</v>
      </c>
      <c r="Q28" s="66">
        <v>290.07499999999999</v>
      </c>
      <c r="R28" s="66">
        <v>289.98099999999999</v>
      </c>
      <c r="S28" s="69">
        <v>290.15800000000002</v>
      </c>
      <c r="T28" s="66">
        <v>290.09100000000001</v>
      </c>
      <c r="U28" s="66">
        <v>290.07100000000003</v>
      </c>
      <c r="V28" s="66">
        <v>289.98200000000003</v>
      </c>
      <c r="W28" s="66">
        <v>289.00799999999998</v>
      </c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9"/>
      <c r="AJ28" s="66">
        <f t="shared" si="37"/>
        <v>-0.13799999999997681</v>
      </c>
      <c r="AK28" s="66">
        <f t="shared" si="38"/>
        <v>-0.10800000000000409</v>
      </c>
      <c r="AL28" s="66">
        <f t="shared" si="39"/>
        <v>6.2999999999988177E-2</v>
      </c>
      <c r="AM28" s="66">
        <f t="shared" si="40"/>
        <v>0.11000000000001364</v>
      </c>
      <c r="AN28" s="66">
        <f t="shared" si="41"/>
        <v>-0.10899999999998045</v>
      </c>
      <c r="AO28" s="115"/>
      <c r="AP28" s="115"/>
      <c r="AQ28" s="115"/>
      <c r="AR28" s="51"/>
      <c r="AS28" s="51"/>
      <c r="AT28" s="51"/>
      <c r="AU28" s="51"/>
      <c r="AV28" s="51"/>
      <c r="AW28" s="95">
        <f t="shared" si="42"/>
        <v>-0.14600000000001501</v>
      </c>
      <c r="AX28" s="14">
        <f t="shared" si="43"/>
        <v>-2.4000000000000909E-2</v>
      </c>
      <c r="AY28" s="14">
        <f t="shared" si="44"/>
        <v>8.300000000002683E-2</v>
      </c>
      <c r="AZ28" s="14">
        <f t="shared" si="45"/>
        <v>-8.6999999999989086E-2</v>
      </c>
      <c r="BA28" s="115"/>
      <c r="BB28" s="115"/>
      <c r="BC28" s="115"/>
      <c r="BD28" s="115"/>
      <c r="BE28" s="51"/>
      <c r="BF28" s="51"/>
      <c r="BG28" s="51"/>
      <c r="BH28" s="51"/>
    </row>
    <row r="29" spans="1:60" x14ac:dyDescent="0.25">
      <c r="A29" s="65">
        <v>135</v>
      </c>
      <c r="B29" s="66">
        <v>2280213.415</v>
      </c>
      <c r="C29" s="66">
        <v>6203601.9979999997</v>
      </c>
      <c r="D29" s="66">
        <v>232.84800000000001</v>
      </c>
      <c r="E29" s="67" t="s">
        <v>41</v>
      </c>
      <c r="F29" s="68">
        <v>2011</v>
      </c>
      <c r="G29" s="66">
        <v>236.80199999999999</v>
      </c>
      <c r="H29" s="68">
        <v>2012</v>
      </c>
      <c r="I29" s="66">
        <v>236.73</v>
      </c>
      <c r="J29" s="68">
        <v>2023</v>
      </c>
      <c r="K29" s="149"/>
      <c r="L29" s="66">
        <v>236.80199999999999</v>
      </c>
      <c r="M29" s="66">
        <v>236.73</v>
      </c>
      <c r="N29" s="66">
        <v>236.59800000000001</v>
      </c>
      <c r="O29" s="66">
        <v>236.51499999999999</v>
      </c>
      <c r="P29" s="66">
        <v>236.14400000000001</v>
      </c>
      <c r="Q29" s="66">
        <v>235.899</v>
      </c>
      <c r="R29" s="66">
        <v>235.76900000000001</v>
      </c>
      <c r="S29" s="69">
        <v>235.50800000000001</v>
      </c>
      <c r="T29" s="66">
        <v>235.18700000000001</v>
      </c>
      <c r="U29" s="69">
        <v>235.03800000000001</v>
      </c>
      <c r="V29" s="66">
        <v>234.88900000000001</v>
      </c>
      <c r="W29" s="66">
        <v>234.74100000000001</v>
      </c>
      <c r="X29" s="66">
        <v>234.73</v>
      </c>
      <c r="Y29" s="66">
        <v>234.66499999999999</v>
      </c>
      <c r="Z29" s="66">
        <v>234.262</v>
      </c>
      <c r="AA29" s="66">
        <v>234.24799999999999</v>
      </c>
      <c r="AB29" s="66">
        <v>234.12799999999999</v>
      </c>
      <c r="AC29" s="66">
        <v>233.91499999999999</v>
      </c>
      <c r="AD29" s="66">
        <v>233.78200000000001</v>
      </c>
      <c r="AE29" s="66">
        <v>233.458</v>
      </c>
      <c r="AF29" s="66">
        <v>233.31399999999999</v>
      </c>
      <c r="AG29" s="66">
        <v>233.03200000000001</v>
      </c>
      <c r="AH29" s="66">
        <v>232.989</v>
      </c>
      <c r="AI29" s="66">
        <v>232.97200000000001</v>
      </c>
      <c r="AJ29" s="66">
        <f t="shared" si="37"/>
        <v>-0.20399999999997931</v>
      </c>
      <c r="AK29" s="66">
        <f t="shared" si="38"/>
        <v>-0.45400000000000773</v>
      </c>
      <c r="AL29" s="66">
        <f t="shared" si="39"/>
        <v>-0.375</v>
      </c>
      <c r="AM29" s="66">
        <f t="shared" si="40"/>
        <v>-0.58199999999999363</v>
      </c>
      <c r="AN29" s="66">
        <f t="shared" si="41"/>
        <v>-0.29800000000000182</v>
      </c>
      <c r="AO29" s="72">
        <f>X29-V29</f>
        <v>-0.15900000000002024</v>
      </c>
      <c r="AP29" s="72">
        <f>Z29-X29</f>
        <v>-0.46799999999998931</v>
      </c>
      <c r="AQ29" s="72">
        <f>AB29-Z29</f>
        <v>-0.13400000000001455</v>
      </c>
      <c r="AR29" s="72">
        <f>AC29-AB29</f>
        <v>-0.21299999999999386</v>
      </c>
      <c r="AS29" s="66">
        <f t="shared" si="4"/>
        <v>-0.45699999999999363</v>
      </c>
      <c r="AT29" s="111">
        <f>AG29-AE29</f>
        <v>-0.42599999999998772</v>
      </c>
      <c r="AU29" s="111">
        <f t="shared" si="6"/>
        <v>-6.0000000000002274E-2</v>
      </c>
      <c r="AV29" s="14">
        <f t="shared" si="7"/>
        <v>-0.31916666666666532</v>
      </c>
      <c r="AW29" s="73">
        <f t="shared" si="42"/>
        <v>-0.21500000000000341</v>
      </c>
      <c r="AX29" s="72">
        <f t="shared" si="43"/>
        <v>-0.61599999999998545</v>
      </c>
      <c r="AY29" s="72">
        <f t="shared" si="44"/>
        <v>-0.39099999999999113</v>
      </c>
      <c r="AZ29" s="72">
        <f t="shared" si="45"/>
        <v>-0.46999999999999886</v>
      </c>
      <c r="BA29" s="72">
        <f>W29-U29</f>
        <v>-0.29699999999999704</v>
      </c>
      <c r="BB29" s="72">
        <f>Y29-W29</f>
        <v>-7.6000000000021828E-2</v>
      </c>
      <c r="BC29" s="72">
        <f>AA29-Y29</f>
        <v>-0.41700000000000159</v>
      </c>
      <c r="BD29" s="72">
        <f t="shared" ref="BD29:BD32" si="46">(AD29-AA29)/2</f>
        <v>-0.23299999999998988</v>
      </c>
      <c r="BE29" s="72">
        <f t="shared" si="9"/>
        <v>-0.46800000000001774</v>
      </c>
      <c r="BF29" s="72">
        <f t="shared" ref="BF29:BF32" si="47">AH29-AF29</f>
        <v>-0.32499999999998863</v>
      </c>
      <c r="BG29" s="72">
        <f t="shared" ref="BG29:BG32" si="48">(AH29-AD29)/2</f>
        <v>-0.39650000000000318</v>
      </c>
      <c r="BH29" s="72">
        <f t="shared" ref="BH29:BH32" si="49">(AH29-$I29)/(2023-$H29)</f>
        <v>-0.34009090909090778</v>
      </c>
    </row>
    <row r="30" spans="1:60" x14ac:dyDescent="0.25">
      <c r="A30" s="65">
        <v>137</v>
      </c>
      <c r="B30" s="66">
        <v>2271706.378</v>
      </c>
      <c r="C30" s="66">
        <v>6053044.1960000005</v>
      </c>
      <c r="D30" s="66">
        <v>99.638000000000005</v>
      </c>
      <c r="E30" s="67" t="s">
        <v>42</v>
      </c>
      <c r="F30" s="68">
        <v>2011</v>
      </c>
      <c r="G30" s="66">
        <v>101.086</v>
      </c>
      <c r="H30" s="68">
        <v>2012</v>
      </c>
      <c r="I30" s="66">
        <v>101.03700000000001</v>
      </c>
      <c r="J30" s="68">
        <v>2023</v>
      </c>
      <c r="K30" s="149"/>
      <c r="L30" s="66">
        <v>101.086</v>
      </c>
      <c r="M30" s="66">
        <v>101.03700000000001</v>
      </c>
      <c r="N30" s="66">
        <v>100.983</v>
      </c>
      <c r="O30" s="66">
        <v>100.934</v>
      </c>
      <c r="P30" s="66">
        <v>100.7</v>
      </c>
      <c r="Q30" s="66">
        <v>100.761</v>
      </c>
      <c r="R30" s="66">
        <v>100.73699999999999</v>
      </c>
      <c r="S30" s="69">
        <v>100.709</v>
      </c>
      <c r="T30" s="66">
        <v>100.57899999999999</v>
      </c>
      <c r="U30" s="66">
        <v>100.492</v>
      </c>
      <c r="V30" s="66">
        <v>100.453</v>
      </c>
      <c r="W30" s="66">
        <v>100.443</v>
      </c>
      <c r="X30" s="66">
        <v>100.4</v>
      </c>
      <c r="Y30" s="66">
        <v>100.315</v>
      </c>
      <c r="Z30" s="66">
        <v>100.285</v>
      </c>
      <c r="AA30" s="66">
        <v>100.22499999999999</v>
      </c>
      <c r="AB30" s="66">
        <v>100.2</v>
      </c>
      <c r="AC30" s="66">
        <v>100.09699999999999</v>
      </c>
      <c r="AD30" s="66">
        <v>100.002</v>
      </c>
      <c r="AE30" s="66">
        <v>99.867000000000004</v>
      </c>
      <c r="AF30" s="66">
        <v>99.808999999999997</v>
      </c>
      <c r="AG30" s="66">
        <v>99.733999999999995</v>
      </c>
      <c r="AH30" s="66">
        <v>99.695999999999998</v>
      </c>
      <c r="AI30" s="66">
        <v>99.733000000000004</v>
      </c>
      <c r="AJ30" s="66">
        <f t="shared" si="37"/>
        <v>-0.10299999999999443</v>
      </c>
      <c r="AK30" s="66">
        <f t="shared" si="38"/>
        <v>-0.28300000000000125</v>
      </c>
      <c r="AL30" s="66">
        <f t="shared" si="39"/>
        <v>3.6999999999991928E-2</v>
      </c>
      <c r="AM30" s="66">
        <f t="shared" si="40"/>
        <v>-0.15800000000000125</v>
      </c>
      <c r="AN30" s="66">
        <f t="shared" si="41"/>
        <v>-0.12599999999999056</v>
      </c>
      <c r="AO30" s="72">
        <f>X30-V30</f>
        <v>-5.2999999999997272E-2</v>
      </c>
      <c r="AP30" s="72">
        <f>Z30-X30</f>
        <v>-0.11500000000000909</v>
      </c>
      <c r="AQ30" s="72">
        <f>AB30-Z30</f>
        <v>-8.4999999999993747E-2</v>
      </c>
      <c r="AR30" s="72">
        <f>AC30-AB30</f>
        <v>-0.10300000000000864</v>
      </c>
      <c r="AS30" s="66">
        <f t="shared" si="4"/>
        <v>-0.22999999999998977</v>
      </c>
      <c r="AT30" s="111">
        <f t="shared" ref="AT30:AT32" si="50">AG30-AE30</f>
        <v>-0.13300000000000978</v>
      </c>
      <c r="AU30" s="111">
        <f t="shared" si="6"/>
        <v>-9.9999999999056399E-4</v>
      </c>
      <c r="AV30" s="14">
        <f t="shared" si="7"/>
        <v>-0.11274999999999953</v>
      </c>
      <c r="AW30" s="73">
        <f t="shared" si="42"/>
        <v>-0.10300000000000864</v>
      </c>
      <c r="AX30" s="72">
        <f t="shared" si="43"/>
        <v>-0.17300000000000182</v>
      </c>
      <c r="AY30" s="72">
        <f t="shared" si="44"/>
        <v>-5.1999999999992497E-2</v>
      </c>
      <c r="AZ30" s="72">
        <f t="shared" si="45"/>
        <v>-0.21699999999999875</v>
      </c>
      <c r="BA30" s="72">
        <f>W30-U30</f>
        <v>-4.9000000000006594E-2</v>
      </c>
      <c r="BB30" s="72">
        <f>Y30-W30</f>
        <v>-0.12800000000000011</v>
      </c>
      <c r="BC30" s="72">
        <f>AA30-Y30</f>
        <v>-9.0000000000003411E-2</v>
      </c>
      <c r="BD30" s="72">
        <f t="shared" si="46"/>
        <v>-0.11149999999999949</v>
      </c>
      <c r="BE30" s="72">
        <f t="shared" si="9"/>
        <v>-0.19299999999999784</v>
      </c>
      <c r="BF30" s="72">
        <f t="shared" si="47"/>
        <v>-0.11299999999999955</v>
      </c>
      <c r="BG30" s="72">
        <f t="shared" si="48"/>
        <v>-0.15299999999999869</v>
      </c>
      <c r="BH30" s="72">
        <f t="shared" si="49"/>
        <v>-0.12190909090909165</v>
      </c>
    </row>
    <row r="31" spans="1:60" x14ac:dyDescent="0.25">
      <c r="A31" s="65">
        <v>138</v>
      </c>
      <c r="B31" s="66">
        <v>2423374.0269999998</v>
      </c>
      <c r="C31" s="66">
        <v>5929562.841</v>
      </c>
      <c r="D31" s="66">
        <v>239.08099999999999</v>
      </c>
      <c r="E31" s="67" t="s">
        <v>43</v>
      </c>
      <c r="F31" s="68">
        <v>2011</v>
      </c>
      <c r="G31" s="66">
        <v>239.03299999999999</v>
      </c>
      <c r="H31" s="68">
        <v>2012</v>
      </c>
      <c r="I31" s="66">
        <v>238.999</v>
      </c>
      <c r="J31" s="68">
        <v>2023</v>
      </c>
      <c r="K31" s="149"/>
      <c r="L31" s="66">
        <v>239.03299999999999</v>
      </c>
      <c r="M31" s="66">
        <v>238.999</v>
      </c>
      <c r="N31" s="66">
        <v>239.035</v>
      </c>
      <c r="O31" s="66">
        <v>238.90600000000001</v>
      </c>
      <c r="P31" s="66">
        <v>238.804</v>
      </c>
      <c r="Q31" s="66">
        <v>239.28299999999999</v>
      </c>
      <c r="R31" s="66">
        <v>239.16499999999999</v>
      </c>
      <c r="S31" s="69">
        <v>239.072</v>
      </c>
      <c r="T31" s="66">
        <v>239.001</v>
      </c>
      <c r="U31" s="69">
        <v>238.93600000000001</v>
      </c>
      <c r="V31" s="66">
        <v>239.047</v>
      </c>
      <c r="W31" s="66">
        <v>239.10300000000001</v>
      </c>
      <c r="X31" s="66">
        <v>238.95</v>
      </c>
      <c r="Y31" s="66">
        <v>238.82599999999999</v>
      </c>
      <c r="Z31" s="66">
        <v>238.905</v>
      </c>
      <c r="AA31" s="66">
        <v>238.833</v>
      </c>
      <c r="AB31" s="66">
        <v>239.03299999999999</v>
      </c>
      <c r="AC31" s="66">
        <v>238.92500000000001</v>
      </c>
      <c r="AD31" s="66">
        <v>238.839</v>
      </c>
      <c r="AE31" s="66">
        <v>238.833</v>
      </c>
      <c r="AF31" s="66">
        <v>238.77</v>
      </c>
      <c r="AG31" s="66">
        <v>238.874</v>
      </c>
      <c r="AH31" s="66">
        <v>238.89599999999999</v>
      </c>
      <c r="AI31" s="66">
        <v>239.19</v>
      </c>
      <c r="AJ31" s="66">
        <f t="shared" si="37"/>
        <v>2.0000000000095497E-3</v>
      </c>
      <c r="AK31" s="66">
        <f t="shared" si="38"/>
        <v>-0.23099999999999454</v>
      </c>
      <c r="AL31" s="66">
        <f t="shared" si="39"/>
        <v>0.36099999999999</v>
      </c>
      <c r="AM31" s="66">
        <f t="shared" si="40"/>
        <v>-0.16399999999998727</v>
      </c>
      <c r="AN31" s="66">
        <f t="shared" si="41"/>
        <v>4.5999999999992269E-2</v>
      </c>
      <c r="AO31" s="72">
        <f>X31-V31</f>
        <v>-9.7000000000008413E-2</v>
      </c>
      <c r="AP31" s="72">
        <f>Z31-X31</f>
        <v>-4.4999999999987494E-2</v>
      </c>
      <c r="AQ31" s="72">
        <f>AB31-Z31</f>
        <v>0.1279999999999859</v>
      </c>
      <c r="AR31" s="72">
        <f>AC31-AB31</f>
        <v>-0.10799999999997567</v>
      </c>
      <c r="AS31" s="66">
        <f t="shared" si="4"/>
        <v>-9.200000000001296E-2</v>
      </c>
      <c r="AT31" s="111">
        <f t="shared" si="50"/>
        <v>4.0999999999996817E-2</v>
      </c>
      <c r="AU31" s="111">
        <f t="shared" si="6"/>
        <v>0.3160000000000025</v>
      </c>
      <c r="AV31" s="14">
        <f t="shared" si="7"/>
        <v>1.3083333333334224E-2</v>
      </c>
      <c r="AW31" s="73">
        <f t="shared" si="42"/>
        <v>-9.2999999999989313E-2</v>
      </c>
      <c r="AX31" s="72">
        <f t="shared" si="43"/>
        <v>0.37699999999998113</v>
      </c>
      <c r="AY31" s="72">
        <f t="shared" si="44"/>
        <v>-0.21099999999998431</v>
      </c>
      <c r="AZ31" s="72">
        <f t="shared" si="45"/>
        <v>-0.13599999999999568</v>
      </c>
      <c r="BA31" s="72">
        <f>W31-U31</f>
        <v>0.16700000000000159</v>
      </c>
      <c r="BB31" s="72">
        <f>Y31-W31</f>
        <v>-0.27700000000001523</v>
      </c>
      <c r="BC31" s="72">
        <f>AA31-Y31</f>
        <v>7.0000000000050022E-3</v>
      </c>
      <c r="BD31" s="72">
        <f t="shared" si="46"/>
        <v>3.0000000000001137E-3</v>
      </c>
      <c r="BE31" s="72">
        <f t="shared" si="9"/>
        <v>-6.8999999999988404E-2</v>
      </c>
      <c r="BF31" s="72">
        <f t="shared" si="47"/>
        <v>0.12599999999997635</v>
      </c>
      <c r="BG31" s="72">
        <f t="shared" si="48"/>
        <v>2.8499999999993975E-2</v>
      </c>
      <c r="BH31" s="72">
        <f t="shared" si="49"/>
        <v>-9.3636363636371497E-3</v>
      </c>
    </row>
    <row r="32" spans="1:60" x14ac:dyDescent="0.25">
      <c r="A32" s="65">
        <v>139</v>
      </c>
      <c r="B32" s="66">
        <v>2099649.682</v>
      </c>
      <c r="C32" s="66">
        <v>6250235.1299999999</v>
      </c>
      <c r="D32" s="66">
        <v>184.709</v>
      </c>
      <c r="E32" s="67" t="s">
        <v>44</v>
      </c>
      <c r="F32" s="68">
        <v>2011</v>
      </c>
      <c r="G32" s="66">
        <v>187.179</v>
      </c>
      <c r="H32" s="68">
        <v>2012</v>
      </c>
      <c r="I32" s="66">
        <v>187.05500000000001</v>
      </c>
      <c r="J32" s="68">
        <v>2023</v>
      </c>
      <c r="K32" s="149"/>
      <c r="L32" s="66">
        <v>187.179</v>
      </c>
      <c r="M32" s="66">
        <v>187.05500000000001</v>
      </c>
      <c r="N32" s="66">
        <v>186.98099999999999</v>
      </c>
      <c r="O32" s="66">
        <v>186.9</v>
      </c>
      <c r="P32" s="66">
        <v>186.53700000000001</v>
      </c>
      <c r="Q32" s="66">
        <v>186.36199999999999</v>
      </c>
      <c r="R32" s="66">
        <v>186.387</v>
      </c>
      <c r="S32" s="69">
        <v>186.286</v>
      </c>
      <c r="T32" s="66">
        <v>186.13</v>
      </c>
      <c r="U32" s="66">
        <v>186.017</v>
      </c>
      <c r="V32" s="66">
        <v>185.83199999999999</v>
      </c>
      <c r="W32" s="66">
        <v>185.83699999999999</v>
      </c>
      <c r="X32" s="66">
        <v>185.76</v>
      </c>
      <c r="Y32" s="66">
        <v>185.76300000000001</v>
      </c>
      <c r="Z32" s="66">
        <v>185.61699999999999</v>
      </c>
      <c r="AA32" s="66">
        <v>185.57900000000001</v>
      </c>
      <c r="AB32" s="66">
        <v>185.48699999999999</v>
      </c>
      <c r="AC32" s="66">
        <v>185.33600000000001</v>
      </c>
      <c r="AD32" s="66">
        <v>185.321</v>
      </c>
      <c r="AE32" s="66">
        <v>184.95599999999999</v>
      </c>
      <c r="AF32" s="66">
        <v>184.87</v>
      </c>
      <c r="AG32" s="66">
        <v>184.792</v>
      </c>
      <c r="AH32" s="66">
        <v>184.81</v>
      </c>
      <c r="AI32" s="66">
        <v>184.78100000000001</v>
      </c>
      <c r="AJ32" s="66">
        <f t="shared" si="37"/>
        <v>-0.1980000000000075</v>
      </c>
      <c r="AK32" s="66">
        <f t="shared" si="38"/>
        <v>-0.4439999999999884</v>
      </c>
      <c r="AL32" s="66">
        <f t="shared" si="39"/>
        <v>-0.15000000000000568</v>
      </c>
      <c r="AM32" s="66">
        <f t="shared" si="40"/>
        <v>-0.257000000000005</v>
      </c>
      <c r="AN32" s="66">
        <f t="shared" si="41"/>
        <v>-0.29800000000000182</v>
      </c>
      <c r="AO32" s="72">
        <f>X32-V32</f>
        <v>-7.2000000000002728E-2</v>
      </c>
      <c r="AP32" s="72">
        <f>Z32-X32</f>
        <v>-0.14300000000000068</v>
      </c>
      <c r="AQ32" s="72">
        <f>AB32-Z32</f>
        <v>-0.12999999999999545</v>
      </c>
      <c r="AR32" s="72">
        <f>AC32-AB32</f>
        <v>-0.15099999999998204</v>
      </c>
      <c r="AS32" s="66">
        <f t="shared" si="4"/>
        <v>-0.38000000000002387</v>
      </c>
      <c r="AT32" s="111">
        <f t="shared" si="50"/>
        <v>-0.16399999999998727</v>
      </c>
      <c r="AU32" s="111">
        <f t="shared" si="6"/>
        <v>-1.099999999999568E-2</v>
      </c>
      <c r="AV32" s="14">
        <f t="shared" si="7"/>
        <v>-0.199833333333333</v>
      </c>
      <c r="AW32" s="73">
        <f t="shared" si="42"/>
        <v>-0.15500000000000114</v>
      </c>
      <c r="AX32" s="72">
        <f t="shared" si="43"/>
        <v>-0.53800000000001091</v>
      </c>
      <c r="AY32" s="72">
        <f t="shared" si="44"/>
        <v>-7.5999999999993406E-2</v>
      </c>
      <c r="AZ32" s="72">
        <f t="shared" si="45"/>
        <v>-0.26900000000000546</v>
      </c>
      <c r="BA32" s="72">
        <f>W32-U32</f>
        <v>-0.18000000000000682</v>
      </c>
      <c r="BB32" s="72">
        <f>Y32-W32</f>
        <v>-7.3999999999983856E-2</v>
      </c>
      <c r="BC32" s="72">
        <f>AA32-Y32</f>
        <v>-0.1839999999999975</v>
      </c>
      <c r="BD32" s="72">
        <f t="shared" si="46"/>
        <v>-0.12900000000000489</v>
      </c>
      <c r="BE32" s="72">
        <f t="shared" si="9"/>
        <v>-0.45099999999999341</v>
      </c>
      <c r="BF32" s="72">
        <f t="shared" si="47"/>
        <v>-6.0000000000002274E-2</v>
      </c>
      <c r="BG32" s="72">
        <f t="shared" si="48"/>
        <v>-0.25549999999999784</v>
      </c>
      <c r="BH32" s="72">
        <f t="shared" si="49"/>
        <v>-0.20409090909090952</v>
      </c>
    </row>
    <row r="33" spans="1:60" s="94" customFormat="1" x14ac:dyDescent="0.25">
      <c r="A33" s="36">
        <v>140</v>
      </c>
      <c r="B33" s="164" t="s">
        <v>28</v>
      </c>
      <c r="C33" s="165"/>
      <c r="D33" s="166"/>
      <c r="E33" s="86" t="s">
        <v>45</v>
      </c>
      <c r="F33" s="93">
        <v>2011</v>
      </c>
      <c r="G33" s="115">
        <v>292.58199999999999</v>
      </c>
      <c r="H33" s="93">
        <v>2012</v>
      </c>
      <c r="I33" s="115">
        <v>292.62299999999999</v>
      </c>
      <c r="J33" s="93">
        <v>2023</v>
      </c>
      <c r="K33" s="149"/>
      <c r="L33" s="66">
        <v>292.58199999999999</v>
      </c>
      <c r="M33" s="66">
        <v>292.62299999999999</v>
      </c>
      <c r="N33" s="66">
        <v>292.50799999999998</v>
      </c>
      <c r="O33" s="66">
        <v>292.577</v>
      </c>
      <c r="P33" s="66">
        <v>292.27</v>
      </c>
      <c r="Q33" s="66">
        <v>292.44799999999998</v>
      </c>
      <c r="R33" s="66">
        <v>292.39299999999997</v>
      </c>
      <c r="S33" s="69">
        <v>292.49200000000002</v>
      </c>
      <c r="T33" s="66">
        <v>292.44600000000003</v>
      </c>
      <c r="U33" s="69">
        <v>292.42599999999999</v>
      </c>
      <c r="V33" s="66">
        <v>292.35599999999999</v>
      </c>
      <c r="W33" s="66">
        <v>293.67</v>
      </c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9"/>
      <c r="AJ33" s="66">
        <f t="shared" si="37"/>
        <v>-7.4000000000012278E-2</v>
      </c>
      <c r="AK33" s="66">
        <f t="shared" si="38"/>
        <v>-0.23799999999999955</v>
      </c>
      <c r="AL33" s="66">
        <f t="shared" si="39"/>
        <v>0.12299999999999045</v>
      </c>
      <c r="AM33" s="66">
        <f t="shared" si="40"/>
        <v>5.3000000000054115E-2</v>
      </c>
      <c r="AN33" s="66">
        <f t="shared" si="41"/>
        <v>-9.0000000000031832E-2</v>
      </c>
      <c r="AO33" s="115"/>
      <c r="AP33" s="115"/>
      <c r="AQ33" s="115"/>
      <c r="AR33" s="51"/>
      <c r="AS33" s="51"/>
      <c r="AT33" s="51"/>
      <c r="AU33" s="51"/>
      <c r="AV33" s="51"/>
      <c r="AW33" s="95">
        <f t="shared" si="42"/>
        <v>-4.5999999999992269E-2</v>
      </c>
      <c r="AX33" s="14">
        <f t="shared" si="43"/>
        <v>-0.1290000000000191</v>
      </c>
      <c r="AY33" s="14">
        <f t="shared" si="44"/>
        <v>4.4000000000039563E-2</v>
      </c>
      <c r="AZ33" s="14">
        <f t="shared" si="45"/>
        <v>-6.6000000000030923E-2</v>
      </c>
      <c r="BA33" s="115"/>
      <c r="BB33" s="115"/>
      <c r="BC33" s="115"/>
      <c r="BD33" s="115"/>
      <c r="BE33" s="51"/>
      <c r="BF33" s="51"/>
      <c r="BG33" s="51"/>
      <c r="BH33" s="51"/>
    </row>
    <row r="34" spans="1:60" x14ac:dyDescent="0.25">
      <c r="A34" s="65">
        <v>141</v>
      </c>
      <c r="B34" s="66">
        <v>2207496.6880000001</v>
      </c>
      <c r="C34" s="66">
        <v>6274591.8190000001</v>
      </c>
      <c r="D34" s="66">
        <v>284.48</v>
      </c>
      <c r="E34" s="67" t="s">
        <v>46</v>
      </c>
      <c r="F34" s="68">
        <v>2011</v>
      </c>
      <c r="G34" s="66">
        <v>285.55399999999997</v>
      </c>
      <c r="H34" s="68">
        <v>2012</v>
      </c>
      <c r="I34" s="66">
        <v>285.52199999999999</v>
      </c>
      <c r="J34" s="68">
        <v>2023</v>
      </c>
      <c r="K34" s="149"/>
      <c r="L34" s="66">
        <v>285.55399999999997</v>
      </c>
      <c r="M34" s="66">
        <v>285.52199999999999</v>
      </c>
      <c r="N34" s="66">
        <v>285.37799999999999</v>
      </c>
      <c r="O34" s="66">
        <v>285.48599999999999</v>
      </c>
      <c r="P34" s="66">
        <v>285.17099999999999</v>
      </c>
      <c r="Q34" s="66">
        <v>285.20499999999998</v>
      </c>
      <c r="R34" s="66">
        <v>285.21800000000002</v>
      </c>
      <c r="S34" s="69">
        <v>285.34399999999999</v>
      </c>
      <c r="T34" s="66">
        <v>285.20600000000002</v>
      </c>
      <c r="U34" s="66">
        <v>285.149</v>
      </c>
      <c r="V34" s="66">
        <v>285.10700000000003</v>
      </c>
      <c r="W34" s="66">
        <v>285.07900000000001</v>
      </c>
      <c r="X34" s="66">
        <v>285.08</v>
      </c>
      <c r="Y34" s="66">
        <v>285.08800000000002</v>
      </c>
      <c r="Z34" s="66">
        <v>284.86799999999999</v>
      </c>
      <c r="AA34" s="66">
        <v>284.92899999999997</v>
      </c>
      <c r="AB34" s="66">
        <v>284.822</v>
      </c>
      <c r="AC34" s="66">
        <v>284.79599999999999</v>
      </c>
      <c r="AD34" s="66">
        <v>284.76299999999998</v>
      </c>
      <c r="AE34" s="66">
        <v>284.62299999999999</v>
      </c>
      <c r="AF34" s="66">
        <v>284.68799999999999</v>
      </c>
      <c r="AG34" s="66">
        <v>284.51299999999998</v>
      </c>
      <c r="AH34" s="66">
        <v>284.53399999999999</v>
      </c>
      <c r="AI34" s="66">
        <v>284.61599999999999</v>
      </c>
      <c r="AJ34" s="66">
        <f t="shared" si="37"/>
        <v>-0.17599999999998772</v>
      </c>
      <c r="AK34" s="66">
        <f t="shared" si="38"/>
        <v>-0.20699999999999363</v>
      </c>
      <c r="AL34" s="72">
        <f t="shared" si="39"/>
        <v>4.7000000000025466E-2</v>
      </c>
      <c r="AM34" s="72">
        <f t="shared" si="40"/>
        <v>-1.2000000000000455E-2</v>
      </c>
      <c r="AN34" s="72">
        <f t="shared" si="41"/>
        <v>-9.8999999999989541E-2</v>
      </c>
      <c r="AO34" s="72">
        <f t="shared" ref="AO34:AO52" si="51">X34-V34</f>
        <v>-2.7000000000043656E-2</v>
      </c>
      <c r="AP34" s="72">
        <f t="shared" ref="AP34:AP62" si="52">Z34-X34</f>
        <v>-0.21199999999998909</v>
      </c>
      <c r="AQ34" s="72">
        <f t="shared" ref="AQ34:AQ62" si="53">AB34-Z34</f>
        <v>-4.5999999999992269E-2</v>
      </c>
      <c r="AR34" s="72">
        <f t="shared" ref="AR34:AR62" si="54">AC34-AB34</f>
        <v>-2.6000000000010459E-2</v>
      </c>
      <c r="AS34" s="66">
        <f t="shared" si="4"/>
        <v>-0.17300000000000182</v>
      </c>
      <c r="AT34" s="111">
        <f>AG34-AE34</f>
        <v>-0.11000000000001364</v>
      </c>
      <c r="AU34" s="111">
        <f t="shared" si="6"/>
        <v>0.10300000000000864</v>
      </c>
      <c r="AV34" s="14">
        <f t="shared" si="7"/>
        <v>-7.8166666666665677E-2</v>
      </c>
      <c r="AW34" s="73">
        <f t="shared" si="42"/>
        <v>-3.6000000000001364E-2</v>
      </c>
      <c r="AX34" s="72">
        <f t="shared" si="43"/>
        <v>-0.28100000000000591</v>
      </c>
      <c r="AY34" s="72">
        <f t="shared" si="44"/>
        <v>0.13900000000001</v>
      </c>
      <c r="AZ34" s="72">
        <f t="shared" si="45"/>
        <v>-0.19499999999999318</v>
      </c>
      <c r="BA34" s="72">
        <f t="shared" ref="BA34:BA52" si="55">W34-U34</f>
        <v>-6.9999999999993179E-2</v>
      </c>
      <c r="BB34" s="72">
        <f t="shared" ref="BB34:BB52" si="56">Y34-W34</f>
        <v>9.0000000000145519E-3</v>
      </c>
      <c r="BC34" s="72">
        <f t="shared" ref="BC34:BC65" si="57">AA34-Y34</f>
        <v>-0.15900000000004866</v>
      </c>
      <c r="BD34" s="72">
        <f t="shared" ref="BD34:BD77" si="58">(AD34-AA34)/2</f>
        <v>-8.2999999999998408E-2</v>
      </c>
      <c r="BE34" s="72">
        <f t="shared" si="9"/>
        <v>-7.4999999999988631E-2</v>
      </c>
      <c r="BF34" s="72">
        <f t="shared" ref="BF34:BF83" si="59">AH34-AF34</f>
        <v>-0.15399999999999636</v>
      </c>
      <c r="BG34" s="72">
        <f t="shared" ref="BG34:BG83" si="60">(AH34-AD34)/2</f>
        <v>-0.1144999999999925</v>
      </c>
      <c r="BH34" s="72">
        <f t="shared" ref="BH34:BH62" si="61">(AH34-$I34)/(2023-$H34)</f>
        <v>-8.9818181818181783E-2</v>
      </c>
    </row>
    <row r="35" spans="1:60" x14ac:dyDescent="0.25">
      <c r="A35" s="65">
        <v>142</v>
      </c>
      <c r="B35" s="66">
        <v>2239184.2829999998</v>
      </c>
      <c r="C35" s="66">
        <v>6329798.0690000001</v>
      </c>
      <c r="D35" s="66">
        <v>430.30900000000003</v>
      </c>
      <c r="E35" s="67" t="s">
        <v>47</v>
      </c>
      <c r="F35" s="68">
        <v>2011</v>
      </c>
      <c r="G35" s="66">
        <v>430.54199999999997</v>
      </c>
      <c r="H35" s="68">
        <v>2012</v>
      </c>
      <c r="I35" s="66">
        <v>430.66899999999998</v>
      </c>
      <c r="J35" s="68">
        <v>2023</v>
      </c>
      <c r="K35" s="149"/>
      <c r="L35" s="66">
        <v>430.54199999999997</v>
      </c>
      <c r="M35" s="66">
        <v>430.66899999999998</v>
      </c>
      <c r="N35" s="66">
        <v>430.40699999999998</v>
      </c>
      <c r="O35" s="66">
        <v>430.548</v>
      </c>
      <c r="P35" s="66">
        <v>430.25799999999998</v>
      </c>
      <c r="Q35" s="66">
        <v>430.44600000000003</v>
      </c>
      <c r="R35" s="66">
        <v>430.28800000000001</v>
      </c>
      <c r="S35" s="69">
        <v>430.68599999999998</v>
      </c>
      <c r="T35" s="66">
        <v>430.54399999999998</v>
      </c>
      <c r="U35" s="69">
        <v>430.51600000000002</v>
      </c>
      <c r="V35" s="66">
        <v>430.46499999999997</v>
      </c>
      <c r="W35" s="66">
        <v>430.51299999999998</v>
      </c>
      <c r="X35" s="66">
        <v>430.49</v>
      </c>
      <c r="Y35" s="66">
        <v>430.55099999999999</v>
      </c>
      <c r="Z35" s="66">
        <v>430.32</v>
      </c>
      <c r="AA35" s="66">
        <v>430.42599999999999</v>
      </c>
      <c r="AB35" s="66">
        <v>430.35199999999998</v>
      </c>
      <c r="AC35" s="66">
        <v>430.447</v>
      </c>
      <c r="AD35" s="66">
        <v>430.49</v>
      </c>
      <c r="AE35" s="66">
        <v>430.34199999999998</v>
      </c>
      <c r="AF35" s="66">
        <v>430.43200000000002</v>
      </c>
      <c r="AG35" s="66">
        <v>430.27600000000001</v>
      </c>
      <c r="AH35" s="66">
        <v>430.45499999999998</v>
      </c>
      <c r="AI35" s="66">
        <v>430.452</v>
      </c>
      <c r="AJ35" s="66">
        <f t="shared" si="37"/>
        <v>-0.13499999999999091</v>
      </c>
      <c r="AK35" s="66">
        <f t="shared" si="38"/>
        <v>-0.14900000000000091</v>
      </c>
      <c r="AL35" s="72">
        <f t="shared" si="39"/>
        <v>3.0000000000029559E-2</v>
      </c>
      <c r="AM35" s="72">
        <f t="shared" si="40"/>
        <v>0.25599999999997181</v>
      </c>
      <c r="AN35" s="72">
        <f t="shared" si="41"/>
        <v>-7.9000000000007731E-2</v>
      </c>
      <c r="AO35" s="72">
        <f t="shared" si="51"/>
        <v>2.5000000000034106E-2</v>
      </c>
      <c r="AP35" s="72">
        <f t="shared" si="52"/>
        <v>-0.17000000000001592</v>
      </c>
      <c r="AQ35" s="72">
        <f t="shared" si="53"/>
        <v>3.1999999999982265E-2</v>
      </c>
      <c r="AR35" s="72">
        <f t="shared" si="54"/>
        <v>9.5000000000027285E-2</v>
      </c>
      <c r="AS35" s="66">
        <f t="shared" si="4"/>
        <v>-0.10500000000001819</v>
      </c>
      <c r="AT35" s="111">
        <f t="shared" ref="AT35:AT83" si="62">AG35-AE35</f>
        <v>-6.5999999999974079E-2</v>
      </c>
      <c r="AU35" s="111">
        <f t="shared" si="6"/>
        <v>0.17599999999998772</v>
      </c>
      <c r="AV35" s="14">
        <f t="shared" si="7"/>
        <v>-7.4999999999979155E-3</v>
      </c>
      <c r="AW35" s="73">
        <f t="shared" si="42"/>
        <v>-0.1209999999999809</v>
      </c>
      <c r="AX35" s="72">
        <f t="shared" si="43"/>
        <v>-0.10199999999997544</v>
      </c>
      <c r="AY35" s="72">
        <f t="shared" si="44"/>
        <v>0.23999999999995225</v>
      </c>
      <c r="AZ35" s="72">
        <f t="shared" si="45"/>
        <v>-0.16999999999995907</v>
      </c>
      <c r="BA35" s="72">
        <f t="shared" si="55"/>
        <v>-3.0000000000427463E-3</v>
      </c>
      <c r="BB35" s="72">
        <f t="shared" si="56"/>
        <v>3.8000000000010914E-2</v>
      </c>
      <c r="BC35" s="72">
        <f t="shared" si="57"/>
        <v>-0.125</v>
      </c>
      <c r="BD35" s="72">
        <f t="shared" si="58"/>
        <v>3.2000000000010687E-2</v>
      </c>
      <c r="BE35" s="72">
        <f t="shared" si="9"/>
        <v>-5.7999999999992724E-2</v>
      </c>
      <c r="BF35" s="72">
        <f t="shared" si="59"/>
        <v>2.2999999999967713E-2</v>
      </c>
      <c r="BG35" s="72">
        <f t="shared" si="60"/>
        <v>-1.7500000000012506E-2</v>
      </c>
      <c r="BH35" s="72">
        <f t="shared" si="61"/>
        <v>-1.9454545454545332E-2</v>
      </c>
    </row>
    <row r="36" spans="1:60" x14ac:dyDescent="0.25">
      <c r="A36" s="65">
        <v>143</v>
      </c>
      <c r="B36" s="66">
        <v>2282575.5959999999</v>
      </c>
      <c r="C36" s="66">
        <v>6342236.5120000001</v>
      </c>
      <c r="D36" s="66">
        <v>1107.0650000000001</v>
      </c>
      <c r="E36" s="67" t="s">
        <v>48</v>
      </c>
      <c r="F36" s="68">
        <v>2011</v>
      </c>
      <c r="G36" s="66">
        <v>1107.318</v>
      </c>
      <c r="H36" s="68">
        <v>2014</v>
      </c>
      <c r="I36" s="66">
        <v>1107.2439999999999</v>
      </c>
      <c r="J36" s="68">
        <v>2023</v>
      </c>
      <c r="K36" s="149"/>
      <c r="L36" s="66">
        <v>1107.318</v>
      </c>
      <c r="M36" s="66"/>
      <c r="N36" s="66"/>
      <c r="O36" s="66"/>
      <c r="P36" s="66">
        <v>1107.068</v>
      </c>
      <c r="Q36" s="66">
        <v>1107.2439999999999</v>
      </c>
      <c r="R36" s="66">
        <v>1107.04</v>
      </c>
      <c r="S36" s="69">
        <v>1107.423</v>
      </c>
      <c r="T36" s="66">
        <v>1107.3</v>
      </c>
      <c r="U36" s="66">
        <v>1107.3409999999999</v>
      </c>
      <c r="V36" s="66">
        <v>1107.182</v>
      </c>
      <c r="W36" s="66">
        <v>1107.354</v>
      </c>
      <c r="X36" s="66">
        <v>1107.26</v>
      </c>
      <c r="Y36" s="66">
        <v>1107.336</v>
      </c>
      <c r="Z36" s="66">
        <v>1107.056</v>
      </c>
      <c r="AA36" s="66">
        <v>1107.2149999999999</v>
      </c>
      <c r="AB36" s="66">
        <v>1107.1030000000001</v>
      </c>
      <c r="AC36" s="66">
        <v>1107.1969999999999</v>
      </c>
      <c r="AD36" s="66">
        <v>1107.403</v>
      </c>
      <c r="AE36" s="66">
        <v>1107.1089999999999</v>
      </c>
      <c r="AF36" s="66">
        <v>1107.1890000000001</v>
      </c>
      <c r="AG36" s="66">
        <v>1107.038</v>
      </c>
      <c r="AH36" s="66">
        <v>1107.2080000000001</v>
      </c>
      <c r="AI36" s="66">
        <v>1107.1869999999999</v>
      </c>
      <c r="AJ36" s="66"/>
      <c r="AK36" s="66"/>
      <c r="AL36" s="72">
        <f t="shared" si="39"/>
        <v>-2.8000000000020009E-2</v>
      </c>
      <c r="AM36" s="72">
        <f t="shared" si="40"/>
        <v>0.25999999999999091</v>
      </c>
      <c r="AN36" s="72">
        <f t="shared" si="41"/>
        <v>-0.11799999999993815</v>
      </c>
      <c r="AO36" s="72">
        <f t="shared" si="51"/>
        <v>7.7999999999974534E-2</v>
      </c>
      <c r="AP36" s="72">
        <f t="shared" si="52"/>
        <v>-0.20399999999995089</v>
      </c>
      <c r="AQ36" s="72">
        <f t="shared" si="53"/>
        <v>4.7000000000025466E-2</v>
      </c>
      <c r="AR36" s="72">
        <f t="shared" si="54"/>
        <v>9.3999999999823558E-2</v>
      </c>
      <c r="AS36" s="66">
        <f t="shared" si="4"/>
        <v>-8.7999999999965439E-2</v>
      </c>
      <c r="AT36" s="111">
        <f t="shared" si="62"/>
        <v>-7.0999999999912689E-2</v>
      </c>
      <c r="AU36" s="111">
        <f t="shared" si="6"/>
        <v>0.14899999999988722</v>
      </c>
      <c r="AV36" s="14">
        <f t="shared" si="7"/>
        <v>-1.0916666666673791E-2</v>
      </c>
      <c r="AW36" s="73"/>
      <c r="AX36" s="71"/>
      <c r="AY36" s="72">
        <f t="shared" si="44"/>
        <v>0.17900000000008731</v>
      </c>
      <c r="AZ36" s="72">
        <f t="shared" si="45"/>
        <v>-8.200000000010732E-2</v>
      </c>
      <c r="BA36" s="72">
        <f t="shared" si="55"/>
        <v>1.3000000000147338E-2</v>
      </c>
      <c r="BB36" s="72">
        <f t="shared" si="56"/>
        <v>-1.8000000000029104E-2</v>
      </c>
      <c r="BC36" s="72">
        <f t="shared" si="57"/>
        <v>-0.12100000000009459</v>
      </c>
      <c r="BD36" s="72">
        <f t="shared" si="58"/>
        <v>9.4000000000050932E-2</v>
      </c>
      <c r="BE36" s="72">
        <f t="shared" si="9"/>
        <v>-0.21399999999994179</v>
      </c>
      <c r="BF36" s="72">
        <f t="shared" si="59"/>
        <v>1.9000000000005457E-2</v>
      </c>
      <c r="BG36" s="72">
        <f t="shared" si="60"/>
        <v>-9.7499999999968168E-2</v>
      </c>
      <c r="BH36" s="72">
        <f t="shared" si="61"/>
        <v>-3.9999999999812035E-3</v>
      </c>
    </row>
    <row r="37" spans="1:60" x14ac:dyDescent="0.25">
      <c r="A37" s="65">
        <v>144</v>
      </c>
      <c r="B37" s="66">
        <v>2221992.3829999999</v>
      </c>
      <c r="C37" s="66">
        <v>6029550.9289999995</v>
      </c>
      <c r="D37" s="66">
        <v>313.78199999999998</v>
      </c>
      <c r="E37" s="67" t="s">
        <v>49</v>
      </c>
      <c r="F37" s="68">
        <v>2011</v>
      </c>
      <c r="G37" s="66">
        <v>314.29199999999997</v>
      </c>
      <c r="H37" s="68">
        <v>2012</v>
      </c>
      <c r="I37" s="66">
        <v>314.30599999999998</v>
      </c>
      <c r="J37" s="68">
        <v>2023</v>
      </c>
      <c r="K37" s="149"/>
      <c r="L37" s="66">
        <v>314.29199999999997</v>
      </c>
      <c r="M37" s="66">
        <v>314.30599999999998</v>
      </c>
      <c r="N37" s="66">
        <v>314.28699999999998</v>
      </c>
      <c r="O37" s="66">
        <v>314.29300000000001</v>
      </c>
      <c r="P37" s="66">
        <v>314.142</v>
      </c>
      <c r="Q37" s="66">
        <v>314.10700000000003</v>
      </c>
      <c r="R37" s="66">
        <v>314.26600000000002</v>
      </c>
      <c r="S37" s="69">
        <v>314.197</v>
      </c>
      <c r="T37" s="66">
        <v>314.14699999999999</v>
      </c>
      <c r="U37" s="69">
        <v>314.17200000000003</v>
      </c>
      <c r="V37" s="66">
        <v>314.113</v>
      </c>
      <c r="W37" s="66">
        <v>314.14299999999997</v>
      </c>
      <c r="X37" s="66">
        <v>314.08</v>
      </c>
      <c r="Y37" s="66">
        <v>314.07400000000001</v>
      </c>
      <c r="Z37" s="66">
        <v>314.03899999999999</v>
      </c>
      <c r="AA37" s="66">
        <v>314.089</v>
      </c>
      <c r="AB37" s="66">
        <v>314.084</v>
      </c>
      <c r="AC37" s="70">
        <v>313.99200000000002</v>
      </c>
      <c r="AD37" s="66">
        <v>314.00200000000001</v>
      </c>
      <c r="AE37" s="66">
        <v>313.899</v>
      </c>
      <c r="AF37" s="66">
        <v>313.86799999999999</v>
      </c>
      <c r="AG37" s="66">
        <v>313.87700000000001</v>
      </c>
      <c r="AH37" s="66">
        <v>313.87799999999999</v>
      </c>
      <c r="AI37" s="66">
        <v>313.86700000000002</v>
      </c>
      <c r="AJ37" s="66">
        <f>N37-L37</f>
        <v>-4.9999999999954525E-3</v>
      </c>
      <c r="AK37" s="66">
        <f>P37-N37</f>
        <v>-0.14499999999998181</v>
      </c>
      <c r="AL37" s="72">
        <f t="shared" si="39"/>
        <v>0.12400000000002365</v>
      </c>
      <c r="AM37" s="72">
        <f t="shared" si="40"/>
        <v>-0.11900000000002819</v>
      </c>
      <c r="AN37" s="72">
        <f t="shared" si="41"/>
        <v>-3.3999999999991815E-2</v>
      </c>
      <c r="AO37" s="72">
        <f t="shared" si="51"/>
        <v>-3.3000000000015461E-2</v>
      </c>
      <c r="AP37" s="72">
        <f t="shared" si="52"/>
        <v>-4.0999999999996817E-2</v>
      </c>
      <c r="AQ37" s="72">
        <f t="shared" si="53"/>
        <v>4.5000000000015916E-2</v>
      </c>
      <c r="AR37" s="72">
        <f t="shared" si="54"/>
        <v>-9.1999999999984539E-2</v>
      </c>
      <c r="AS37" s="66">
        <f t="shared" si="4"/>
        <v>-9.3000000000017735E-2</v>
      </c>
      <c r="AT37" s="111">
        <f t="shared" si="62"/>
        <v>-2.199999999999136E-2</v>
      </c>
      <c r="AU37" s="111">
        <f t="shared" si="6"/>
        <v>-9.9999999999909051E-3</v>
      </c>
      <c r="AV37" s="14">
        <f t="shared" si="7"/>
        <v>-3.5416666666662877E-2</v>
      </c>
      <c r="AW37" s="73">
        <f>O37-M37</f>
        <v>-1.2999999999976808E-2</v>
      </c>
      <c r="AX37" s="72">
        <f>Q37-O37</f>
        <v>-0.18599999999997863</v>
      </c>
      <c r="AY37" s="72">
        <f t="shared" si="44"/>
        <v>8.9999999999974989E-2</v>
      </c>
      <c r="AZ37" s="72">
        <f t="shared" si="45"/>
        <v>-2.4999999999977263E-2</v>
      </c>
      <c r="BA37" s="72">
        <f t="shared" si="55"/>
        <v>-2.9000000000053205E-2</v>
      </c>
      <c r="BB37" s="72">
        <f t="shared" si="56"/>
        <v>-6.8999999999959982E-2</v>
      </c>
      <c r="BC37" s="72">
        <f t="shared" si="57"/>
        <v>1.4999999999986358E-2</v>
      </c>
      <c r="BD37" s="72">
        <f t="shared" si="58"/>
        <v>-4.3499999999994543E-2</v>
      </c>
      <c r="BE37" s="72">
        <f t="shared" si="9"/>
        <v>-0.13400000000001455</v>
      </c>
      <c r="BF37" s="72">
        <f t="shared" si="59"/>
        <v>9.9999999999909051E-3</v>
      </c>
      <c r="BG37" s="72">
        <f t="shared" si="60"/>
        <v>-6.2000000000011823E-2</v>
      </c>
      <c r="BH37" s="72">
        <f t="shared" si="61"/>
        <v>-3.8909090909090664E-2</v>
      </c>
    </row>
    <row r="38" spans="1:60" x14ac:dyDescent="0.25">
      <c r="A38" s="19">
        <v>145</v>
      </c>
      <c r="B38" s="30">
        <v>2199134.5290000001</v>
      </c>
      <c r="C38" s="30">
        <v>6397420.4749999996</v>
      </c>
      <c r="D38" s="30">
        <v>494.108</v>
      </c>
      <c r="E38" s="64" t="s">
        <v>50</v>
      </c>
      <c r="F38" s="68">
        <v>2011</v>
      </c>
      <c r="G38" s="66">
        <v>494.28100000000001</v>
      </c>
      <c r="H38" s="68">
        <v>2012</v>
      </c>
      <c r="I38" s="66">
        <v>494.49299999999999</v>
      </c>
      <c r="J38" s="68">
        <v>2023</v>
      </c>
      <c r="K38" s="149"/>
      <c r="L38" s="66">
        <v>494.28100000000001</v>
      </c>
      <c r="M38" s="66">
        <v>494.49299999999999</v>
      </c>
      <c r="N38" s="66">
        <v>494.20499999999998</v>
      </c>
      <c r="O38" s="66">
        <v>494.39800000000002</v>
      </c>
      <c r="P38" s="66">
        <v>494.02499999999998</v>
      </c>
      <c r="Q38" s="66">
        <v>494.15699999999998</v>
      </c>
      <c r="R38" s="66">
        <v>494.1</v>
      </c>
      <c r="S38" s="69">
        <v>494.42099999999999</v>
      </c>
      <c r="T38" s="66">
        <v>494.21800000000002</v>
      </c>
      <c r="U38" s="66">
        <v>494.28100000000001</v>
      </c>
      <c r="V38" s="66">
        <v>494.18200000000002</v>
      </c>
      <c r="W38" s="66">
        <v>494.23500000000001</v>
      </c>
      <c r="X38" s="66">
        <v>494.24</v>
      </c>
      <c r="Y38" s="66">
        <v>494.334</v>
      </c>
      <c r="Z38" s="66">
        <v>494.10300000000001</v>
      </c>
      <c r="AA38" s="66">
        <v>494.20499999999998</v>
      </c>
      <c r="AB38" s="66">
        <v>494.16699999999997</v>
      </c>
      <c r="AC38" s="70">
        <v>494.21800000000002</v>
      </c>
      <c r="AD38" s="66">
        <v>494.38099999999997</v>
      </c>
      <c r="AE38" s="66">
        <v>494.11399999999998</v>
      </c>
      <c r="AF38" s="66">
        <v>494.14100000000002</v>
      </c>
      <c r="AG38" s="66">
        <v>494.02100000000002</v>
      </c>
      <c r="AH38" s="66">
        <v>494.21899999999999</v>
      </c>
      <c r="AI38" s="66">
        <v>494.24200000000002</v>
      </c>
      <c r="AJ38" s="66">
        <f>N38-L38</f>
        <v>-7.6000000000021828E-2</v>
      </c>
      <c r="AK38" s="66">
        <f>P38-N38</f>
        <v>-0.18000000000000682</v>
      </c>
      <c r="AL38" s="72">
        <f t="shared" si="39"/>
        <v>7.5000000000045475E-2</v>
      </c>
      <c r="AM38" s="72">
        <f t="shared" si="40"/>
        <v>0.117999999999995</v>
      </c>
      <c r="AN38" s="72">
        <f t="shared" si="41"/>
        <v>-3.6000000000001364E-2</v>
      </c>
      <c r="AO38" s="72">
        <f t="shared" si="51"/>
        <v>5.7999999999992724E-2</v>
      </c>
      <c r="AP38" s="72">
        <f t="shared" si="52"/>
        <v>-0.13700000000000045</v>
      </c>
      <c r="AQ38" s="72">
        <f t="shared" si="53"/>
        <v>6.399999999996453E-2</v>
      </c>
      <c r="AR38" s="72">
        <f t="shared" si="54"/>
        <v>5.1000000000044565E-2</v>
      </c>
      <c r="AS38" s="66">
        <f t="shared" si="4"/>
        <v>-0.10400000000004184</v>
      </c>
      <c r="AT38" s="111">
        <f t="shared" si="62"/>
        <v>-9.2999999999960892E-2</v>
      </c>
      <c r="AU38" s="111">
        <f t="shared" si="6"/>
        <v>0.22100000000000364</v>
      </c>
      <c r="AV38" s="14">
        <f t="shared" si="7"/>
        <v>-3.2499999999989391E-3</v>
      </c>
      <c r="AW38" s="73">
        <f>O38-M38</f>
        <v>-9.4999999999970441E-2</v>
      </c>
      <c r="AX38" s="72">
        <f>Q38-O38</f>
        <v>-0.24100000000004229</v>
      </c>
      <c r="AY38" s="72">
        <f t="shared" si="44"/>
        <v>0.26400000000001</v>
      </c>
      <c r="AZ38" s="72">
        <f t="shared" si="45"/>
        <v>-0.13999999999998636</v>
      </c>
      <c r="BA38" s="72">
        <f t="shared" si="55"/>
        <v>-4.5999999999992269E-2</v>
      </c>
      <c r="BB38" s="72">
        <f t="shared" si="56"/>
        <v>9.8999999999989541E-2</v>
      </c>
      <c r="BC38" s="72">
        <f t="shared" si="57"/>
        <v>-0.1290000000000191</v>
      </c>
      <c r="BD38" s="72">
        <f t="shared" si="58"/>
        <v>8.7999999999993861E-2</v>
      </c>
      <c r="BE38" s="72">
        <f t="shared" si="9"/>
        <v>-0.23999999999995225</v>
      </c>
      <c r="BF38" s="72">
        <f t="shared" si="59"/>
        <v>7.7999999999974534E-2</v>
      </c>
      <c r="BG38" s="72">
        <f t="shared" si="60"/>
        <v>-8.0999999999988859E-2</v>
      </c>
      <c r="BH38" s="72">
        <f t="shared" si="61"/>
        <v>-2.4909090909090992E-2</v>
      </c>
    </row>
    <row r="39" spans="1:60" x14ac:dyDescent="0.25">
      <c r="A39" s="55">
        <v>146</v>
      </c>
      <c r="B39" s="56">
        <v>2275034.3199999998</v>
      </c>
      <c r="C39" s="56">
        <v>5961519.2999999998</v>
      </c>
      <c r="D39" s="56">
        <v>285.33999999999997</v>
      </c>
      <c r="E39" s="64" t="s">
        <v>51</v>
      </c>
      <c r="F39" s="68">
        <v>2011</v>
      </c>
      <c r="G39" s="66">
        <v>285.34399999999999</v>
      </c>
      <c r="H39" s="68">
        <v>2012</v>
      </c>
      <c r="I39" s="66">
        <v>285.33999999999997</v>
      </c>
      <c r="J39" s="68">
        <v>2023</v>
      </c>
      <c r="K39" s="149"/>
      <c r="L39" s="66">
        <v>285.34399999999999</v>
      </c>
      <c r="M39" s="66">
        <v>285.33999999999997</v>
      </c>
      <c r="N39" s="66">
        <v>285.33999999999997</v>
      </c>
      <c r="O39" s="66">
        <v>285.33999999999997</v>
      </c>
      <c r="P39" s="66">
        <v>285.33999999999997</v>
      </c>
      <c r="Q39" s="66">
        <v>285.33999999999997</v>
      </c>
      <c r="R39" s="66">
        <v>285.33999999999997</v>
      </c>
      <c r="S39" s="69">
        <v>285.33999999999997</v>
      </c>
      <c r="T39" s="66">
        <v>285.33999999999997</v>
      </c>
      <c r="U39" s="69">
        <v>285.33999999999997</v>
      </c>
      <c r="V39" s="66">
        <v>285.33999999999997</v>
      </c>
      <c r="W39" s="66">
        <v>285.33999999999997</v>
      </c>
      <c r="X39" s="66">
        <v>285.33999999999997</v>
      </c>
      <c r="Y39" s="66">
        <v>285.33999999999997</v>
      </c>
      <c r="Z39" s="66">
        <v>285.33999999999997</v>
      </c>
      <c r="AA39" s="66">
        <v>285.33999999999997</v>
      </c>
      <c r="AB39" s="66">
        <v>285.33999999999997</v>
      </c>
      <c r="AC39" s="70">
        <v>285.33999999999997</v>
      </c>
      <c r="AD39" s="66">
        <v>285.33999999999997</v>
      </c>
      <c r="AE39" s="66">
        <v>285.33999999999997</v>
      </c>
      <c r="AF39" s="66">
        <v>285.33999999999997</v>
      </c>
      <c r="AG39" s="66">
        <v>285.33999999999997</v>
      </c>
      <c r="AH39" s="66">
        <v>285.33999999999997</v>
      </c>
      <c r="AI39" s="66">
        <v>285.33999999999997</v>
      </c>
      <c r="AJ39" s="66">
        <f>N39-L39</f>
        <v>-4.0000000000190994E-3</v>
      </c>
      <c r="AK39" s="66">
        <f>P39-N39</f>
        <v>0</v>
      </c>
      <c r="AL39" s="72">
        <f t="shared" si="39"/>
        <v>0</v>
      </c>
      <c r="AM39" s="72">
        <f t="shared" si="40"/>
        <v>0</v>
      </c>
      <c r="AN39" s="72">
        <f t="shared" si="41"/>
        <v>0</v>
      </c>
      <c r="AO39" s="72">
        <f t="shared" si="51"/>
        <v>0</v>
      </c>
      <c r="AP39" s="72">
        <f t="shared" si="52"/>
        <v>0</v>
      </c>
      <c r="AQ39" s="72">
        <f t="shared" si="53"/>
        <v>0</v>
      </c>
      <c r="AR39" s="72">
        <f t="shared" si="54"/>
        <v>0</v>
      </c>
      <c r="AS39" s="66">
        <f t="shared" si="4"/>
        <v>0</v>
      </c>
      <c r="AT39" s="111">
        <f t="shared" si="62"/>
        <v>0</v>
      </c>
      <c r="AU39" s="111">
        <f t="shared" si="6"/>
        <v>0</v>
      </c>
      <c r="AV39" s="14">
        <f t="shared" si="7"/>
        <v>-3.3333333333492493E-4</v>
      </c>
      <c r="AW39" s="73">
        <f>O39-M39</f>
        <v>0</v>
      </c>
      <c r="AX39" s="72">
        <f>Q39-O39</f>
        <v>0</v>
      </c>
      <c r="AY39" s="72">
        <f t="shared" si="44"/>
        <v>0</v>
      </c>
      <c r="AZ39" s="72">
        <f t="shared" si="45"/>
        <v>0</v>
      </c>
      <c r="BA39" s="72">
        <f t="shared" si="55"/>
        <v>0</v>
      </c>
      <c r="BB39" s="72">
        <f t="shared" si="56"/>
        <v>0</v>
      </c>
      <c r="BC39" s="72">
        <f t="shared" si="57"/>
        <v>0</v>
      </c>
      <c r="BD39" s="72">
        <f t="shared" si="58"/>
        <v>0</v>
      </c>
      <c r="BE39" s="72">
        <f t="shared" si="9"/>
        <v>0</v>
      </c>
      <c r="BF39" s="72">
        <f t="shared" si="59"/>
        <v>0</v>
      </c>
      <c r="BG39" s="72">
        <f t="shared" si="60"/>
        <v>0</v>
      </c>
      <c r="BH39" s="72">
        <f t="shared" si="61"/>
        <v>0</v>
      </c>
    </row>
    <row r="40" spans="1:60" x14ac:dyDescent="0.25">
      <c r="A40" s="65">
        <v>147</v>
      </c>
      <c r="B40" s="66">
        <v>2238612.2379999999</v>
      </c>
      <c r="C40" s="66">
        <v>6104481.3480000002</v>
      </c>
      <c r="D40" s="66">
        <v>122.328</v>
      </c>
      <c r="E40" s="67" t="s">
        <v>52</v>
      </c>
      <c r="F40" s="68">
        <v>2011</v>
      </c>
      <c r="G40" s="66">
        <v>124.289</v>
      </c>
      <c r="H40" s="68">
        <v>2012</v>
      </c>
      <c r="I40" s="66">
        <v>124.197</v>
      </c>
      <c r="J40" s="68">
        <v>2023</v>
      </c>
      <c r="K40" s="149"/>
      <c r="L40" s="66">
        <v>124.289</v>
      </c>
      <c r="M40" s="66">
        <v>124.197</v>
      </c>
      <c r="N40" s="66">
        <v>124.116</v>
      </c>
      <c r="O40" s="66">
        <v>124.02200000000001</v>
      </c>
      <c r="P40" s="66">
        <v>123.849</v>
      </c>
      <c r="Q40" s="66">
        <v>123.873</v>
      </c>
      <c r="R40" s="66">
        <v>123.867</v>
      </c>
      <c r="S40" s="69">
        <v>123.753</v>
      </c>
      <c r="T40" s="66">
        <v>123.586</v>
      </c>
      <c r="U40" s="66">
        <v>123.61499999999999</v>
      </c>
      <c r="V40" s="66">
        <v>123.437</v>
      </c>
      <c r="W40" s="66">
        <v>123.324</v>
      </c>
      <c r="X40" s="66">
        <v>123.33</v>
      </c>
      <c r="Y40" s="66">
        <v>123.206</v>
      </c>
      <c r="Z40" s="66">
        <v>123.134</v>
      </c>
      <c r="AA40" s="66">
        <v>123.083</v>
      </c>
      <c r="AB40" s="66">
        <v>123.027</v>
      </c>
      <c r="AC40" s="70">
        <v>122.878</v>
      </c>
      <c r="AD40" s="66">
        <v>122.804</v>
      </c>
      <c r="AE40" s="66">
        <v>122.669</v>
      </c>
      <c r="AF40" s="66">
        <v>122.554</v>
      </c>
      <c r="AG40" s="66">
        <v>122.462</v>
      </c>
      <c r="AH40" s="66">
        <v>122.432</v>
      </c>
      <c r="AI40" s="66">
        <v>122.458</v>
      </c>
      <c r="AJ40" s="66">
        <f>N40-L40</f>
        <v>-0.17300000000000182</v>
      </c>
      <c r="AK40" s="66">
        <f>P40-N40</f>
        <v>-0.26699999999999591</v>
      </c>
      <c r="AL40" s="72">
        <f t="shared" si="39"/>
        <v>1.8000000000000682E-2</v>
      </c>
      <c r="AM40" s="72">
        <f t="shared" si="40"/>
        <v>-0.28100000000000591</v>
      </c>
      <c r="AN40" s="72">
        <f t="shared" si="41"/>
        <v>-0.14900000000000091</v>
      </c>
      <c r="AO40" s="72">
        <f t="shared" si="51"/>
        <v>-0.10699999999999932</v>
      </c>
      <c r="AP40" s="72">
        <f t="shared" si="52"/>
        <v>-0.19599999999999795</v>
      </c>
      <c r="AQ40" s="72">
        <f t="shared" si="53"/>
        <v>-0.10699999999999932</v>
      </c>
      <c r="AR40" s="72">
        <f t="shared" si="54"/>
        <v>-0.14900000000000091</v>
      </c>
      <c r="AS40" s="66">
        <f t="shared" si="4"/>
        <v>-0.20900000000000318</v>
      </c>
      <c r="AT40" s="111">
        <f t="shared" si="62"/>
        <v>-0.20699999999999363</v>
      </c>
      <c r="AU40" s="111">
        <f t="shared" si="6"/>
        <v>-4.0000000000048885E-3</v>
      </c>
      <c r="AV40" s="14">
        <f t="shared" si="7"/>
        <v>-0.1525833333333336</v>
      </c>
      <c r="AW40" s="73">
        <f>O40-M40</f>
        <v>-0.17499999999999716</v>
      </c>
      <c r="AX40" s="72">
        <f>Q40-O40</f>
        <v>-0.14900000000000091</v>
      </c>
      <c r="AY40" s="72">
        <f t="shared" si="44"/>
        <v>-0.12000000000000455</v>
      </c>
      <c r="AZ40" s="72">
        <f t="shared" si="45"/>
        <v>-0.13800000000000523</v>
      </c>
      <c r="BA40" s="72">
        <f t="shared" si="55"/>
        <v>-0.29099999999999682</v>
      </c>
      <c r="BB40" s="72">
        <f t="shared" si="56"/>
        <v>-0.117999999999995</v>
      </c>
      <c r="BC40" s="72">
        <f t="shared" si="57"/>
        <v>-0.12300000000000466</v>
      </c>
      <c r="BD40" s="72">
        <f t="shared" si="58"/>
        <v>-0.13949999999999818</v>
      </c>
      <c r="BE40" s="72">
        <f t="shared" si="9"/>
        <v>-0.25</v>
      </c>
      <c r="BF40" s="72">
        <f t="shared" si="59"/>
        <v>-0.12199999999999989</v>
      </c>
      <c r="BG40" s="72">
        <f t="shared" si="60"/>
        <v>-0.18599999999999994</v>
      </c>
      <c r="BH40" s="72">
        <f t="shared" si="61"/>
        <v>-0.16045454545454552</v>
      </c>
    </row>
    <row r="41" spans="1:60" x14ac:dyDescent="0.25">
      <c r="A41" s="65">
        <v>148</v>
      </c>
      <c r="B41" s="66">
        <v>2392467.4780000001</v>
      </c>
      <c r="C41" s="66">
        <v>6061625.7019999996</v>
      </c>
      <c r="D41" s="66">
        <v>134.012</v>
      </c>
      <c r="E41" s="67" t="s">
        <v>53</v>
      </c>
      <c r="F41" s="68">
        <v>2011</v>
      </c>
      <c r="G41" s="66">
        <v>134.35</v>
      </c>
      <c r="H41" s="68">
        <v>2012</v>
      </c>
      <c r="I41" s="66">
        <v>134.203</v>
      </c>
      <c r="J41" s="68">
        <v>2023</v>
      </c>
      <c r="K41" s="149"/>
      <c r="L41" s="66">
        <v>134.35</v>
      </c>
      <c r="M41" s="66">
        <v>134.203</v>
      </c>
      <c r="N41" s="66">
        <v>134.21899999999999</v>
      </c>
      <c r="O41" s="66">
        <v>134.154</v>
      </c>
      <c r="P41" s="66">
        <v>133.98699999999999</v>
      </c>
      <c r="Q41" s="66">
        <v>134.267</v>
      </c>
      <c r="R41" s="66">
        <v>134.26599999999999</v>
      </c>
      <c r="S41" s="69">
        <v>134.215</v>
      </c>
      <c r="T41" s="66">
        <v>134.16999999999999</v>
      </c>
      <c r="U41" s="69">
        <v>134.114</v>
      </c>
      <c r="V41" s="66">
        <v>134.178</v>
      </c>
      <c r="W41" s="66">
        <v>134.172</v>
      </c>
      <c r="X41" s="66">
        <v>134.16</v>
      </c>
      <c r="Y41" s="66">
        <v>133.99799999999999</v>
      </c>
      <c r="Z41" s="66">
        <v>134.02600000000001</v>
      </c>
      <c r="AA41" s="66">
        <v>134.072</v>
      </c>
      <c r="AB41" s="66">
        <v>134.11000000000001</v>
      </c>
      <c r="AC41" s="70">
        <v>134.06800000000001</v>
      </c>
      <c r="AD41" s="66">
        <v>133.90899999999999</v>
      </c>
      <c r="AE41" s="66">
        <v>133.94800000000001</v>
      </c>
      <c r="AF41" s="66">
        <v>133.94</v>
      </c>
      <c r="AG41" s="66">
        <v>133.90700000000001</v>
      </c>
      <c r="AH41" s="66">
        <v>133.93799999999999</v>
      </c>
      <c r="AI41" s="66">
        <v>134.12899999999999</v>
      </c>
      <c r="AJ41" s="66">
        <f>N41-L41</f>
        <v>-0.13100000000000023</v>
      </c>
      <c r="AK41" s="66">
        <f>P41-N41</f>
        <v>-0.23199999999999932</v>
      </c>
      <c r="AL41" s="72">
        <f t="shared" si="39"/>
        <v>0.27899999999999636</v>
      </c>
      <c r="AM41" s="72">
        <f t="shared" si="40"/>
        <v>-9.6000000000003638E-2</v>
      </c>
      <c r="AN41" s="72">
        <f t="shared" si="41"/>
        <v>8.0000000000097771E-3</v>
      </c>
      <c r="AO41" s="72">
        <f t="shared" si="51"/>
        <v>-1.8000000000000682E-2</v>
      </c>
      <c r="AP41" s="72">
        <f t="shared" si="52"/>
        <v>-0.13399999999998613</v>
      </c>
      <c r="AQ41" s="72">
        <f t="shared" si="53"/>
        <v>8.4000000000003183E-2</v>
      </c>
      <c r="AR41" s="72">
        <f t="shared" si="54"/>
        <v>-4.2000000000001592E-2</v>
      </c>
      <c r="AS41" s="66">
        <f t="shared" si="4"/>
        <v>-0.12000000000000455</v>
      </c>
      <c r="AT41" s="111">
        <f t="shared" si="62"/>
        <v>-4.0999999999996817E-2</v>
      </c>
      <c r="AU41" s="111">
        <f t="shared" si="6"/>
        <v>0.22199999999997999</v>
      </c>
      <c r="AV41" s="14">
        <f t="shared" si="7"/>
        <v>-1.841666666666697E-2</v>
      </c>
      <c r="AW41" s="73">
        <f>O41-M41</f>
        <v>-4.9000000000006594E-2</v>
      </c>
      <c r="AX41" s="72">
        <f>Q41-O41</f>
        <v>0.11299999999999955</v>
      </c>
      <c r="AY41" s="72">
        <f t="shared" si="44"/>
        <v>-5.1999999999992497E-2</v>
      </c>
      <c r="AZ41" s="72">
        <f t="shared" si="45"/>
        <v>-0.10099999999999909</v>
      </c>
      <c r="BA41" s="72">
        <f t="shared" si="55"/>
        <v>5.7999999999992724E-2</v>
      </c>
      <c r="BB41" s="72">
        <f t="shared" si="56"/>
        <v>-0.17400000000000659</v>
      </c>
      <c r="BC41" s="72">
        <f t="shared" si="57"/>
        <v>7.4000000000012278E-2</v>
      </c>
      <c r="BD41" s="72">
        <f t="shared" si="58"/>
        <v>-8.1500000000005457E-2</v>
      </c>
      <c r="BE41" s="72">
        <f t="shared" si="9"/>
        <v>3.1000000000005912E-2</v>
      </c>
      <c r="BF41" s="72">
        <f t="shared" si="59"/>
        <v>-2.0000000000095497E-3</v>
      </c>
      <c r="BG41" s="72">
        <f t="shared" si="60"/>
        <v>1.4499999999998181E-2</v>
      </c>
      <c r="BH41" s="72">
        <f t="shared" si="61"/>
        <v>-2.4090909090910436E-2</v>
      </c>
    </row>
    <row r="42" spans="1:60" x14ac:dyDescent="0.25">
      <c r="A42" s="65">
        <v>150</v>
      </c>
      <c r="B42" s="66">
        <v>2376151.63</v>
      </c>
      <c r="C42" s="66">
        <v>5971948.2779999999</v>
      </c>
      <c r="D42" s="66">
        <v>97.168999999999997</v>
      </c>
      <c r="E42" s="67" t="s">
        <v>126</v>
      </c>
      <c r="F42" s="68">
        <v>2011</v>
      </c>
      <c r="G42" s="66">
        <v>97.215999999999994</v>
      </c>
      <c r="H42" s="68">
        <v>2014</v>
      </c>
      <c r="I42" s="66">
        <v>97.313999999999993</v>
      </c>
      <c r="J42" s="68">
        <v>2023</v>
      </c>
      <c r="K42" s="149"/>
      <c r="L42" s="66">
        <v>97.215999999999994</v>
      </c>
      <c r="M42" s="66"/>
      <c r="N42" s="66"/>
      <c r="O42" s="66"/>
      <c r="P42" s="66">
        <v>96.983999999999995</v>
      </c>
      <c r="Q42" s="66">
        <v>97.313999999999993</v>
      </c>
      <c r="R42" s="66">
        <v>97.227999999999994</v>
      </c>
      <c r="S42" s="69">
        <v>97.194000000000003</v>
      </c>
      <c r="T42" s="66">
        <v>97.156000000000006</v>
      </c>
      <c r="U42" s="66">
        <v>97.044499999999999</v>
      </c>
      <c r="V42" s="66">
        <v>97.224999999999994</v>
      </c>
      <c r="W42" s="66">
        <v>97.266999999999996</v>
      </c>
      <c r="X42" s="66">
        <v>97.26</v>
      </c>
      <c r="Y42" s="66">
        <v>96.966999999999999</v>
      </c>
      <c r="Z42" s="66">
        <v>97.078000000000003</v>
      </c>
      <c r="AA42" s="66">
        <v>97.088999999999999</v>
      </c>
      <c r="AB42" s="66">
        <v>97.156999999999996</v>
      </c>
      <c r="AC42" s="70">
        <v>97.054000000000002</v>
      </c>
      <c r="AD42" s="66">
        <v>96.95</v>
      </c>
      <c r="AE42" s="66">
        <v>96.935000000000002</v>
      </c>
      <c r="AF42" s="66">
        <v>96.914000000000001</v>
      </c>
      <c r="AG42" s="66">
        <v>96.965999999999994</v>
      </c>
      <c r="AH42" s="66">
        <v>97.051000000000002</v>
      </c>
      <c r="AI42" s="66">
        <v>97.260999999999996</v>
      </c>
      <c r="AJ42" s="66"/>
      <c r="AK42" s="66"/>
      <c r="AL42" s="72">
        <f t="shared" si="39"/>
        <v>0.24399999999999977</v>
      </c>
      <c r="AM42" s="72">
        <f t="shared" si="40"/>
        <v>-7.1999999999988518E-2</v>
      </c>
      <c r="AN42" s="72">
        <f t="shared" si="41"/>
        <v>6.8999999999988404E-2</v>
      </c>
      <c r="AO42" s="72">
        <f t="shared" si="51"/>
        <v>3.50000000000108E-2</v>
      </c>
      <c r="AP42" s="72">
        <f t="shared" si="52"/>
        <v>-0.18200000000000216</v>
      </c>
      <c r="AQ42" s="72">
        <f t="shared" si="53"/>
        <v>7.899999999999352E-2</v>
      </c>
      <c r="AR42" s="72">
        <f t="shared" si="54"/>
        <v>-0.10299999999999443</v>
      </c>
      <c r="AS42" s="66">
        <f t="shared" si="4"/>
        <v>-0.11899999999999977</v>
      </c>
      <c r="AT42" s="111">
        <f t="shared" si="62"/>
        <v>3.0999999999991701E-2</v>
      </c>
      <c r="AU42" s="111">
        <f t="shared" si="6"/>
        <v>0.29500000000000171</v>
      </c>
      <c r="AV42" s="14">
        <f t="shared" si="7"/>
        <v>3.7500000000001421E-3</v>
      </c>
      <c r="AW42" s="73"/>
      <c r="AX42" s="71"/>
      <c r="AY42" s="72">
        <f t="shared" si="44"/>
        <v>-0.11999999999999034</v>
      </c>
      <c r="AZ42" s="72">
        <f t="shared" si="45"/>
        <v>-0.1495000000000033</v>
      </c>
      <c r="BA42" s="72">
        <f t="shared" si="55"/>
        <v>0.22249999999999659</v>
      </c>
      <c r="BB42" s="72">
        <f t="shared" si="56"/>
        <v>-0.29999999999999716</v>
      </c>
      <c r="BC42" s="72">
        <f t="shared" si="57"/>
        <v>0.12199999999999989</v>
      </c>
      <c r="BD42" s="72">
        <f t="shared" si="58"/>
        <v>-6.9499999999997897E-2</v>
      </c>
      <c r="BE42" s="72">
        <f t="shared" si="9"/>
        <v>-3.6000000000001364E-2</v>
      </c>
      <c r="BF42" s="72">
        <f t="shared" si="59"/>
        <v>0.13700000000000045</v>
      </c>
      <c r="BG42" s="72">
        <f t="shared" si="60"/>
        <v>5.0499999999999545E-2</v>
      </c>
      <c r="BH42" s="72">
        <f t="shared" si="61"/>
        <v>-2.9222222222221223E-2</v>
      </c>
    </row>
    <row r="43" spans="1:60" x14ac:dyDescent="0.25">
      <c r="A43" s="65">
        <v>152</v>
      </c>
      <c r="B43" s="66">
        <v>2322364.1370000001</v>
      </c>
      <c r="C43" s="66">
        <v>6025789.0860000001</v>
      </c>
      <c r="D43" s="66">
        <v>83.590999999999994</v>
      </c>
      <c r="E43" s="67" t="s">
        <v>127</v>
      </c>
      <c r="F43" s="68">
        <v>2011</v>
      </c>
      <c r="G43" s="66">
        <v>84.685000000000002</v>
      </c>
      <c r="H43" s="68">
        <v>2012</v>
      </c>
      <c r="I43" s="66">
        <v>84.647000000000006</v>
      </c>
      <c r="J43" s="68">
        <v>2023</v>
      </c>
      <c r="K43" s="149"/>
      <c r="L43" s="66">
        <v>84.685000000000002</v>
      </c>
      <c r="M43" s="66">
        <v>84.647000000000006</v>
      </c>
      <c r="N43" s="66">
        <v>84.623000000000005</v>
      </c>
      <c r="O43" s="66">
        <v>84.653999999999996</v>
      </c>
      <c r="P43" s="66">
        <v>84.396000000000001</v>
      </c>
      <c r="Q43" s="66">
        <v>84.674000000000007</v>
      </c>
      <c r="R43" s="66">
        <v>84.606999999999999</v>
      </c>
      <c r="S43" s="69">
        <v>84.414000000000001</v>
      </c>
      <c r="T43" s="66">
        <v>84.122</v>
      </c>
      <c r="U43" s="69">
        <v>84.031999999999996</v>
      </c>
      <c r="V43" s="66">
        <v>84.055000000000007</v>
      </c>
      <c r="W43" s="66">
        <v>84.039000000000001</v>
      </c>
      <c r="X43" s="66">
        <v>84.06</v>
      </c>
      <c r="Y43" s="66">
        <v>83.91</v>
      </c>
      <c r="Z43" s="66">
        <v>83.96</v>
      </c>
      <c r="AA43" s="66">
        <v>84.004000000000005</v>
      </c>
      <c r="AB43" s="66">
        <v>83.980999999999995</v>
      </c>
      <c r="AC43" s="70">
        <v>83.811999999999998</v>
      </c>
      <c r="AD43" s="66">
        <v>83.834999999999994</v>
      </c>
      <c r="AE43" s="66">
        <v>83.67</v>
      </c>
      <c r="AF43" s="66">
        <v>83.619</v>
      </c>
      <c r="AG43" s="66">
        <v>83.61</v>
      </c>
      <c r="AH43" s="66">
        <v>83.594999999999999</v>
      </c>
      <c r="AI43" s="66">
        <v>83.739000000000004</v>
      </c>
      <c r="AJ43" s="66">
        <f t="shared" ref="AJ43:AJ52" si="63">N43-L43</f>
        <v>-6.1999999999997613E-2</v>
      </c>
      <c r="AK43" s="66">
        <f t="shared" ref="AK43:AK52" si="64">P43-N43</f>
        <v>-0.22700000000000387</v>
      </c>
      <c r="AL43" s="72">
        <f t="shared" si="39"/>
        <v>0.21099999999999852</v>
      </c>
      <c r="AM43" s="72">
        <f t="shared" si="40"/>
        <v>-0.48499999999999943</v>
      </c>
      <c r="AN43" s="72">
        <f t="shared" si="41"/>
        <v>-6.6999999999993065E-2</v>
      </c>
      <c r="AO43" s="72">
        <f t="shared" si="51"/>
        <v>4.9999999999954525E-3</v>
      </c>
      <c r="AP43" s="72">
        <f t="shared" si="52"/>
        <v>-0.10000000000000853</v>
      </c>
      <c r="AQ43" s="72">
        <f t="shared" si="53"/>
        <v>2.1000000000000796E-2</v>
      </c>
      <c r="AR43" s="72">
        <f t="shared" si="54"/>
        <v>-0.16899999999999693</v>
      </c>
      <c r="AS43" s="66">
        <f t="shared" si="4"/>
        <v>-0.14199999999999591</v>
      </c>
      <c r="AT43" s="111">
        <f t="shared" si="62"/>
        <v>-6.0000000000002274E-2</v>
      </c>
      <c r="AU43" s="111">
        <f t="shared" si="6"/>
        <v>0.12900000000000489</v>
      </c>
      <c r="AV43" s="14">
        <f t="shared" si="7"/>
        <v>-7.8833333333333158E-2</v>
      </c>
      <c r="AW43" s="73">
        <f t="shared" ref="AW43:AW52" si="65">O43-M43</f>
        <v>6.9999999999907914E-3</v>
      </c>
      <c r="AX43" s="72">
        <f t="shared" ref="AX43:AX52" si="66">Q43-O43</f>
        <v>2.0000000000010232E-2</v>
      </c>
      <c r="AY43" s="72">
        <f t="shared" si="44"/>
        <v>-0.26000000000000512</v>
      </c>
      <c r="AZ43" s="72">
        <f t="shared" si="45"/>
        <v>-0.382000000000005</v>
      </c>
      <c r="BA43" s="72">
        <f t="shared" si="55"/>
        <v>7.0000000000050022E-3</v>
      </c>
      <c r="BB43" s="72">
        <f t="shared" si="56"/>
        <v>-0.12900000000000489</v>
      </c>
      <c r="BC43" s="72">
        <f t="shared" si="57"/>
        <v>9.4000000000008299E-2</v>
      </c>
      <c r="BD43" s="72">
        <f t="shared" si="58"/>
        <v>-8.4500000000005571E-2</v>
      </c>
      <c r="BE43" s="72">
        <f t="shared" si="9"/>
        <v>-0.21599999999999397</v>
      </c>
      <c r="BF43" s="72">
        <f t="shared" si="59"/>
        <v>-2.4000000000000909E-2</v>
      </c>
      <c r="BG43" s="72">
        <f t="shared" si="60"/>
        <v>-0.11999999999999744</v>
      </c>
      <c r="BH43" s="72">
        <f t="shared" si="61"/>
        <v>-9.5636363636364241E-2</v>
      </c>
    </row>
    <row r="44" spans="1:60" x14ac:dyDescent="0.25">
      <c r="A44" s="65">
        <v>153</v>
      </c>
      <c r="B44" s="66">
        <v>2183877.3059999999</v>
      </c>
      <c r="C44" s="66">
        <v>6142113.6440000003</v>
      </c>
      <c r="D44" s="66">
        <v>153.511</v>
      </c>
      <c r="E44" s="67" t="s">
        <v>56</v>
      </c>
      <c r="F44" s="68">
        <v>2011</v>
      </c>
      <c r="G44" s="66">
        <v>154.80000000000001</v>
      </c>
      <c r="H44" s="68">
        <v>2012</v>
      </c>
      <c r="I44" s="66">
        <v>154.779</v>
      </c>
      <c r="J44" s="68">
        <v>2023</v>
      </c>
      <c r="K44" s="149"/>
      <c r="L44" s="66">
        <v>154.80000000000001</v>
      </c>
      <c r="M44" s="66">
        <v>154.779</v>
      </c>
      <c r="N44" s="66">
        <v>154.755</v>
      </c>
      <c r="O44" s="66">
        <v>154.77099999999999</v>
      </c>
      <c r="P44" s="66">
        <v>154.43199999999999</v>
      </c>
      <c r="Q44" s="66">
        <v>154.47800000000001</v>
      </c>
      <c r="R44" s="66">
        <v>154.535</v>
      </c>
      <c r="S44" s="69">
        <v>154.447</v>
      </c>
      <c r="T44" s="66">
        <v>154.27000000000001</v>
      </c>
      <c r="U44" s="66">
        <v>154.38999999999999</v>
      </c>
      <c r="V44" s="66">
        <v>154.14599999999999</v>
      </c>
      <c r="W44" s="66">
        <v>154.21</v>
      </c>
      <c r="X44" s="66">
        <v>154.16999999999999</v>
      </c>
      <c r="Y44" s="66">
        <v>154.26300000000001</v>
      </c>
      <c r="Z44" s="66">
        <v>154.07</v>
      </c>
      <c r="AA44" s="66">
        <v>154.131</v>
      </c>
      <c r="AB44" s="66">
        <v>154.02500000000001</v>
      </c>
      <c r="AC44" s="70">
        <v>153.91999999999999</v>
      </c>
      <c r="AD44" s="66">
        <v>153.917</v>
      </c>
      <c r="AE44" s="66">
        <v>153.71100000000001</v>
      </c>
      <c r="AF44" s="66">
        <v>153.66499999999999</v>
      </c>
      <c r="AG44" s="66">
        <v>153.53299999999999</v>
      </c>
      <c r="AH44" s="66">
        <v>153.584</v>
      </c>
      <c r="AI44" s="66">
        <v>153.52199999999999</v>
      </c>
      <c r="AJ44" s="66">
        <f t="shared" si="63"/>
        <v>-4.5000000000015916E-2</v>
      </c>
      <c r="AK44" s="66">
        <f t="shared" si="64"/>
        <v>-0.3230000000000075</v>
      </c>
      <c r="AL44" s="72">
        <f t="shared" si="39"/>
        <v>0.10300000000000864</v>
      </c>
      <c r="AM44" s="72">
        <f t="shared" si="40"/>
        <v>-0.26499999999998636</v>
      </c>
      <c r="AN44" s="72">
        <f t="shared" si="41"/>
        <v>-0.12400000000002365</v>
      </c>
      <c r="AO44" s="72">
        <f t="shared" si="51"/>
        <v>2.4000000000000909E-2</v>
      </c>
      <c r="AP44" s="72">
        <f t="shared" si="52"/>
        <v>-9.9999999999994316E-2</v>
      </c>
      <c r="AQ44" s="72">
        <f t="shared" si="53"/>
        <v>-4.4999999999987494E-2</v>
      </c>
      <c r="AR44" s="72">
        <f t="shared" si="54"/>
        <v>-0.10500000000001819</v>
      </c>
      <c r="AS44" s="66">
        <f t="shared" si="4"/>
        <v>-0.20899999999997476</v>
      </c>
      <c r="AT44" s="111">
        <f t="shared" si="62"/>
        <v>-0.17800000000002569</v>
      </c>
      <c r="AU44" s="111">
        <f t="shared" si="6"/>
        <v>-1.099999999999568E-2</v>
      </c>
      <c r="AV44" s="14">
        <f t="shared" si="7"/>
        <v>-0.10650000000000166</v>
      </c>
      <c r="AW44" s="73">
        <f t="shared" si="65"/>
        <v>-8.0000000000097771E-3</v>
      </c>
      <c r="AX44" s="72">
        <f t="shared" si="66"/>
        <v>-0.29299999999997794</v>
      </c>
      <c r="AY44" s="72">
        <f t="shared" si="44"/>
        <v>-3.1000000000005912E-2</v>
      </c>
      <c r="AZ44" s="72">
        <f t="shared" si="45"/>
        <v>-5.7000000000016371E-2</v>
      </c>
      <c r="BA44" s="72">
        <f t="shared" si="55"/>
        <v>-0.1799999999999784</v>
      </c>
      <c r="BB44" s="72">
        <f t="shared" si="56"/>
        <v>5.2999999999997272E-2</v>
      </c>
      <c r="BC44" s="72">
        <f t="shared" si="57"/>
        <v>-0.132000000000005</v>
      </c>
      <c r="BD44" s="72">
        <f t="shared" si="58"/>
        <v>-0.10699999999999932</v>
      </c>
      <c r="BE44" s="72">
        <f t="shared" si="9"/>
        <v>-0.25200000000000955</v>
      </c>
      <c r="BF44" s="72">
        <f t="shared" si="59"/>
        <v>-8.0999999999988859E-2</v>
      </c>
      <c r="BG44" s="72">
        <f t="shared" si="60"/>
        <v>-0.1664999999999992</v>
      </c>
      <c r="BH44" s="72">
        <f t="shared" si="61"/>
        <v>-0.10863636363636302</v>
      </c>
    </row>
    <row r="45" spans="1:60" x14ac:dyDescent="0.25">
      <c r="A45" s="65">
        <v>154</v>
      </c>
      <c r="B45" s="66">
        <v>2149040.148</v>
      </c>
      <c r="C45" s="66">
        <v>6261382.7019999996</v>
      </c>
      <c r="D45" s="66">
        <v>229.43700000000001</v>
      </c>
      <c r="E45" s="67" t="s">
        <v>128</v>
      </c>
      <c r="F45" s="68">
        <v>2011</v>
      </c>
      <c r="G45" s="66">
        <v>230.11099999999999</v>
      </c>
      <c r="H45" s="68">
        <v>2012</v>
      </c>
      <c r="I45" s="66">
        <v>230.08099999999999</v>
      </c>
      <c r="J45" s="68">
        <v>2023</v>
      </c>
      <c r="K45" s="149"/>
      <c r="L45" s="66">
        <v>230.11099999999999</v>
      </c>
      <c r="M45" s="66">
        <v>230.08099999999999</v>
      </c>
      <c r="N45" s="66">
        <v>229.99100000000001</v>
      </c>
      <c r="O45" s="66">
        <v>230.083</v>
      </c>
      <c r="P45" s="66">
        <v>229.77600000000001</v>
      </c>
      <c r="Q45" s="66">
        <v>229.80799999999999</v>
      </c>
      <c r="R45" s="66">
        <v>229.95</v>
      </c>
      <c r="S45" s="69">
        <v>229.82599999999999</v>
      </c>
      <c r="T45" s="66">
        <v>229.82599999999999</v>
      </c>
      <c r="U45" s="69">
        <v>229.80699999999999</v>
      </c>
      <c r="V45" s="66">
        <v>229.69300000000001</v>
      </c>
      <c r="W45" s="66">
        <v>229.767</v>
      </c>
      <c r="X45" s="66">
        <v>229.72</v>
      </c>
      <c r="Y45" s="66">
        <v>229.90899999999999</v>
      </c>
      <c r="Z45" s="66">
        <v>229.69200000000001</v>
      </c>
      <c r="AA45" s="66">
        <v>229.81100000000001</v>
      </c>
      <c r="AB45" s="66">
        <v>229.666</v>
      </c>
      <c r="AC45" s="70">
        <v>229.70400000000001</v>
      </c>
      <c r="AD45" s="66">
        <v>229.84</v>
      </c>
      <c r="AE45" s="66">
        <v>229.48500000000001</v>
      </c>
      <c r="AF45" s="66">
        <v>229.58199999999999</v>
      </c>
      <c r="AG45" s="66">
        <v>229.46600000000001</v>
      </c>
      <c r="AH45" s="66">
        <v>229.506</v>
      </c>
      <c r="AI45" s="66">
        <v>229.584</v>
      </c>
      <c r="AJ45" s="66">
        <f t="shared" si="63"/>
        <v>-0.11999999999997613</v>
      </c>
      <c r="AK45" s="66">
        <f t="shared" si="64"/>
        <v>-0.21500000000000341</v>
      </c>
      <c r="AL45" s="72">
        <f t="shared" si="39"/>
        <v>0.17399999999997817</v>
      </c>
      <c r="AM45" s="72">
        <f t="shared" si="40"/>
        <v>-0.12399999999999523</v>
      </c>
      <c r="AN45" s="72">
        <f t="shared" si="41"/>
        <v>-0.13299999999998136</v>
      </c>
      <c r="AO45" s="72">
        <f t="shared" si="51"/>
        <v>2.6999999999986812E-2</v>
      </c>
      <c r="AP45" s="72">
        <f t="shared" si="52"/>
        <v>-2.7999999999991587E-2</v>
      </c>
      <c r="AQ45" s="72">
        <f t="shared" si="53"/>
        <v>-2.6000000000010459E-2</v>
      </c>
      <c r="AR45" s="72">
        <f t="shared" si="54"/>
        <v>3.8000000000010914E-2</v>
      </c>
      <c r="AS45" s="66">
        <f t="shared" si="4"/>
        <v>-0.21899999999999409</v>
      </c>
      <c r="AT45" s="111">
        <f t="shared" si="62"/>
        <v>-1.9000000000005457E-2</v>
      </c>
      <c r="AU45" s="111">
        <f t="shared" si="6"/>
        <v>0.117999999999995</v>
      </c>
      <c r="AV45" s="14">
        <f t="shared" si="7"/>
        <v>-4.391666666666557E-2</v>
      </c>
      <c r="AW45" s="73">
        <f t="shared" si="65"/>
        <v>2.0000000000095497E-3</v>
      </c>
      <c r="AX45" s="72">
        <f t="shared" si="66"/>
        <v>-0.27500000000000568</v>
      </c>
      <c r="AY45" s="72">
        <f t="shared" si="44"/>
        <v>1.8000000000000682E-2</v>
      </c>
      <c r="AZ45" s="72">
        <f t="shared" si="45"/>
        <v>-1.9000000000005457E-2</v>
      </c>
      <c r="BA45" s="72">
        <f t="shared" si="55"/>
        <v>-3.9999999999992042E-2</v>
      </c>
      <c r="BB45" s="72">
        <f t="shared" si="56"/>
        <v>0.14199999999999591</v>
      </c>
      <c r="BC45" s="72">
        <f t="shared" si="57"/>
        <v>-9.7999999999984766E-2</v>
      </c>
      <c r="BD45" s="72">
        <f t="shared" si="58"/>
        <v>1.4499999999998181E-2</v>
      </c>
      <c r="BE45" s="72">
        <f t="shared" si="9"/>
        <v>-0.25800000000000978</v>
      </c>
      <c r="BF45" s="72">
        <f t="shared" si="59"/>
        <v>-7.5999999999993406E-2</v>
      </c>
      <c r="BG45" s="72">
        <f t="shared" si="60"/>
        <v>-0.16700000000000159</v>
      </c>
      <c r="BH45" s="72">
        <f t="shared" si="61"/>
        <v>-5.2272727272726242E-2</v>
      </c>
    </row>
    <row r="46" spans="1:60" x14ac:dyDescent="0.25">
      <c r="A46" s="65">
        <v>155</v>
      </c>
      <c r="B46" s="66">
        <v>2319104.4610000001</v>
      </c>
      <c r="C46" s="66">
        <v>6078482.3830000004</v>
      </c>
      <c r="D46" s="66">
        <v>108.108</v>
      </c>
      <c r="E46" s="67" t="s">
        <v>58</v>
      </c>
      <c r="F46" s="68">
        <v>2011</v>
      </c>
      <c r="G46" s="66">
        <v>110.77</v>
      </c>
      <c r="H46" s="68">
        <v>2012</v>
      </c>
      <c r="I46" s="66">
        <v>110.717</v>
      </c>
      <c r="J46" s="68">
        <v>2023</v>
      </c>
      <c r="K46" s="149"/>
      <c r="L46" s="66">
        <v>110.77</v>
      </c>
      <c r="M46" s="66">
        <v>110.717</v>
      </c>
      <c r="N46" s="66">
        <v>110.515</v>
      </c>
      <c r="O46" s="66">
        <v>110.54</v>
      </c>
      <c r="P46" s="66">
        <v>110.252</v>
      </c>
      <c r="Q46" s="66">
        <v>110.268</v>
      </c>
      <c r="R46" s="66">
        <v>110.21899999999999</v>
      </c>
      <c r="S46" s="69">
        <v>109.815</v>
      </c>
      <c r="T46" s="66">
        <v>109.66500000000001</v>
      </c>
      <c r="U46" s="66">
        <v>109.53</v>
      </c>
      <c r="V46" s="66">
        <v>109.383</v>
      </c>
      <c r="W46" s="66">
        <v>109.399</v>
      </c>
      <c r="X46" s="66">
        <v>109.43</v>
      </c>
      <c r="Y46" s="66">
        <v>109.164</v>
      </c>
      <c r="Z46" s="66">
        <v>109.17</v>
      </c>
      <c r="AA46" s="66">
        <v>109.16200000000001</v>
      </c>
      <c r="AB46" s="66">
        <v>109.039</v>
      </c>
      <c r="AC46" s="70">
        <v>108.863</v>
      </c>
      <c r="AD46" s="66">
        <v>108.70699999999999</v>
      </c>
      <c r="AE46" s="66">
        <v>108.54300000000001</v>
      </c>
      <c r="AF46" s="66">
        <v>108.33499999999999</v>
      </c>
      <c r="AG46" s="66">
        <v>108.18</v>
      </c>
      <c r="AH46" s="66">
        <v>108.209</v>
      </c>
      <c r="AI46" s="66">
        <v>108.265</v>
      </c>
      <c r="AJ46" s="66">
        <f t="shared" si="63"/>
        <v>-0.25499999999999545</v>
      </c>
      <c r="AK46" s="66">
        <f t="shared" si="64"/>
        <v>-0.26300000000000523</v>
      </c>
      <c r="AL46" s="72">
        <f t="shared" si="39"/>
        <v>-3.3000000000001251E-2</v>
      </c>
      <c r="AM46" s="72">
        <f t="shared" si="40"/>
        <v>-0.55399999999998784</v>
      </c>
      <c r="AN46" s="72">
        <f t="shared" si="41"/>
        <v>-0.28200000000001069</v>
      </c>
      <c r="AO46" s="72">
        <f t="shared" si="51"/>
        <v>4.7000000000011255E-2</v>
      </c>
      <c r="AP46" s="72">
        <f t="shared" si="52"/>
        <v>-0.26000000000000512</v>
      </c>
      <c r="AQ46" s="72">
        <f t="shared" si="53"/>
        <v>-0.13100000000000023</v>
      </c>
      <c r="AR46" s="72">
        <f t="shared" si="54"/>
        <v>-0.17600000000000193</v>
      </c>
      <c r="AS46" s="66">
        <f t="shared" si="4"/>
        <v>-0.31999999999999318</v>
      </c>
      <c r="AT46" s="111">
        <f t="shared" si="62"/>
        <v>-0.36299999999999955</v>
      </c>
      <c r="AU46" s="111">
        <f t="shared" si="6"/>
        <v>8.4999999999993747E-2</v>
      </c>
      <c r="AV46" s="14">
        <f t="shared" si="7"/>
        <v>-0.20874999999999963</v>
      </c>
      <c r="AW46" s="73">
        <f t="shared" si="65"/>
        <v>-0.1769999999999925</v>
      </c>
      <c r="AX46" s="72">
        <f t="shared" si="66"/>
        <v>-0.27200000000000557</v>
      </c>
      <c r="AY46" s="72">
        <f t="shared" si="44"/>
        <v>-0.45300000000000296</v>
      </c>
      <c r="AZ46" s="72">
        <f t="shared" si="45"/>
        <v>-0.28499999999999659</v>
      </c>
      <c r="BA46" s="72">
        <f t="shared" si="55"/>
        <v>-0.13100000000000023</v>
      </c>
      <c r="BB46" s="72">
        <f t="shared" si="56"/>
        <v>-0.23499999999999943</v>
      </c>
      <c r="BC46" s="72">
        <f t="shared" si="57"/>
        <v>-1.9999999999953388E-3</v>
      </c>
      <c r="BD46" s="72">
        <f t="shared" si="58"/>
        <v>-0.22750000000000625</v>
      </c>
      <c r="BE46" s="72">
        <f t="shared" si="9"/>
        <v>-0.37199999999999989</v>
      </c>
      <c r="BF46" s="72">
        <f t="shared" si="59"/>
        <v>-0.12599999999999056</v>
      </c>
      <c r="BG46" s="72">
        <f t="shared" si="60"/>
        <v>-0.24899999999999523</v>
      </c>
      <c r="BH46" s="72">
        <f t="shared" si="61"/>
        <v>-0.22799999999999959</v>
      </c>
    </row>
    <row r="47" spans="1:60" x14ac:dyDescent="0.25">
      <c r="A47" s="65">
        <v>156</v>
      </c>
      <c r="B47" s="66">
        <v>2292291.9849999999</v>
      </c>
      <c r="C47" s="66">
        <v>6098548.727</v>
      </c>
      <c r="D47" s="66">
        <v>109.97199999999999</v>
      </c>
      <c r="E47" s="67" t="s">
        <v>59</v>
      </c>
      <c r="F47" s="68">
        <v>2011</v>
      </c>
      <c r="G47" s="66">
        <v>113.60299999999999</v>
      </c>
      <c r="H47" s="68">
        <v>2012</v>
      </c>
      <c r="I47" s="66">
        <v>113.241</v>
      </c>
      <c r="J47" s="68">
        <v>2023</v>
      </c>
      <c r="K47" s="149"/>
      <c r="L47" s="66">
        <v>113.60299999999999</v>
      </c>
      <c r="M47" s="66">
        <v>113.241</v>
      </c>
      <c r="N47" s="66">
        <v>113.04900000000001</v>
      </c>
      <c r="O47" s="66">
        <v>112.702</v>
      </c>
      <c r="P47" s="66">
        <v>112.417</v>
      </c>
      <c r="Q47" s="66">
        <v>112.2</v>
      </c>
      <c r="R47" s="66">
        <v>112.181</v>
      </c>
      <c r="S47" s="69">
        <v>111.756</v>
      </c>
      <c r="T47" s="66">
        <v>111.536</v>
      </c>
      <c r="U47" s="69">
        <v>111.307</v>
      </c>
      <c r="V47" s="66">
        <v>111.217</v>
      </c>
      <c r="W47" s="66">
        <v>111.205</v>
      </c>
      <c r="X47" s="66">
        <v>111.24</v>
      </c>
      <c r="Y47" s="66">
        <v>110.89100000000001</v>
      </c>
      <c r="Z47" s="66">
        <v>110.87</v>
      </c>
      <c r="AA47" s="66">
        <v>110.881</v>
      </c>
      <c r="AB47" s="66">
        <v>110.8</v>
      </c>
      <c r="AC47" s="70">
        <v>110.575</v>
      </c>
      <c r="AD47" s="66">
        <v>110.428</v>
      </c>
      <c r="AE47" s="66">
        <v>110.29600000000001</v>
      </c>
      <c r="AF47" s="66">
        <v>110.014</v>
      </c>
      <c r="AG47" s="66">
        <v>110.012</v>
      </c>
      <c r="AH47" s="66">
        <v>110.093</v>
      </c>
      <c r="AI47" s="66">
        <v>110.111</v>
      </c>
      <c r="AJ47" s="66">
        <f t="shared" si="63"/>
        <v>-0.55399999999998784</v>
      </c>
      <c r="AK47" s="66">
        <f t="shared" si="64"/>
        <v>-0.632000000000005</v>
      </c>
      <c r="AL47" s="72">
        <f t="shared" si="39"/>
        <v>-0.23600000000000421</v>
      </c>
      <c r="AM47" s="72">
        <f t="shared" si="40"/>
        <v>-0.64499999999999602</v>
      </c>
      <c r="AN47" s="72">
        <f t="shared" si="41"/>
        <v>-0.31900000000000261</v>
      </c>
      <c r="AO47" s="72">
        <f t="shared" si="51"/>
        <v>2.2999999999996135E-2</v>
      </c>
      <c r="AP47" s="72">
        <f t="shared" si="52"/>
        <v>-0.36999999999999034</v>
      </c>
      <c r="AQ47" s="72">
        <f t="shared" si="53"/>
        <v>-7.000000000000739E-2</v>
      </c>
      <c r="AR47" s="72">
        <f t="shared" si="54"/>
        <v>-0.22499999999999432</v>
      </c>
      <c r="AS47" s="66">
        <f t="shared" si="4"/>
        <v>-0.27899999999999636</v>
      </c>
      <c r="AT47" s="111">
        <f t="shared" si="62"/>
        <v>-0.28400000000000603</v>
      </c>
      <c r="AU47" s="111">
        <f t="shared" si="6"/>
        <v>9.9000000000003752E-2</v>
      </c>
      <c r="AV47" s="14">
        <f t="shared" si="7"/>
        <v>-0.2909999999999992</v>
      </c>
      <c r="AW47" s="73">
        <f t="shared" si="65"/>
        <v>-0.53900000000000148</v>
      </c>
      <c r="AX47" s="72">
        <f t="shared" si="66"/>
        <v>-0.50199999999999534</v>
      </c>
      <c r="AY47" s="72">
        <f t="shared" si="44"/>
        <v>-0.44400000000000261</v>
      </c>
      <c r="AZ47" s="72">
        <f t="shared" si="45"/>
        <v>-0.44899999999999807</v>
      </c>
      <c r="BA47" s="72">
        <f t="shared" si="55"/>
        <v>-0.10200000000000387</v>
      </c>
      <c r="BB47" s="72">
        <f t="shared" si="56"/>
        <v>-0.31399999999999295</v>
      </c>
      <c r="BC47" s="72">
        <f t="shared" si="57"/>
        <v>-1.0000000000005116E-2</v>
      </c>
      <c r="BD47" s="72">
        <f t="shared" si="58"/>
        <v>-0.22650000000000148</v>
      </c>
      <c r="BE47" s="72">
        <f t="shared" si="9"/>
        <v>-0.41400000000000148</v>
      </c>
      <c r="BF47" s="72">
        <f t="shared" si="59"/>
        <v>7.9000000000007731E-2</v>
      </c>
      <c r="BG47" s="72">
        <f t="shared" si="60"/>
        <v>-0.16749999999999687</v>
      </c>
      <c r="BH47" s="72">
        <f t="shared" si="61"/>
        <v>-0.28618181818181782</v>
      </c>
    </row>
    <row r="48" spans="1:60" x14ac:dyDescent="0.25">
      <c r="A48" s="65">
        <v>157</v>
      </c>
      <c r="B48" s="66">
        <v>2263167.6170000001</v>
      </c>
      <c r="C48" s="66">
        <v>6102759.1770000001</v>
      </c>
      <c r="D48" s="66">
        <v>112.473</v>
      </c>
      <c r="E48" s="67" t="s">
        <v>129</v>
      </c>
      <c r="F48" s="68">
        <v>2011</v>
      </c>
      <c r="G48" s="66">
        <v>114.93600000000001</v>
      </c>
      <c r="H48" s="68">
        <v>2012</v>
      </c>
      <c r="I48" s="66">
        <v>114.879</v>
      </c>
      <c r="J48" s="68">
        <v>2023</v>
      </c>
      <c r="K48" s="149"/>
      <c r="L48" s="66">
        <v>114.93600000000001</v>
      </c>
      <c r="M48" s="66">
        <v>114.879</v>
      </c>
      <c r="N48" s="66">
        <v>114.754</v>
      </c>
      <c r="O48" s="66">
        <v>114.66</v>
      </c>
      <c r="P48" s="66">
        <v>114.402</v>
      </c>
      <c r="Q48" s="66">
        <v>114.38800000000001</v>
      </c>
      <c r="R48" s="66">
        <v>114.374</v>
      </c>
      <c r="S48" s="69">
        <v>114.214</v>
      </c>
      <c r="T48" s="66">
        <v>113.99299999999999</v>
      </c>
      <c r="U48" s="66">
        <v>113.971</v>
      </c>
      <c r="V48" s="66">
        <v>113.76900000000001</v>
      </c>
      <c r="W48" s="66">
        <v>113.655</v>
      </c>
      <c r="X48" s="66">
        <v>113.65</v>
      </c>
      <c r="Y48" s="66">
        <v>113.52500000000001</v>
      </c>
      <c r="Z48" s="66">
        <v>113.417</v>
      </c>
      <c r="AA48" s="66">
        <v>113.357</v>
      </c>
      <c r="AB48" s="66">
        <v>113.28</v>
      </c>
      <c r="AC48" s="70">
        <v>113.116</v>
      </c>
      <c r="AD48" s="66">
        <v>112.999</v>
      </c>
      <c r="AE48" s="66">
        <v>112.82</v>
      </c>
      <c r="AF48" s="66">
        <v>112.663</v>
      </c>
      <c r="AG48" s="66">
        <v>112.608</v>
      </c>
      <c r="AH48" s="66">
        <v>112.54</v>
      </c>
      <c r="AI48" s="66">
        <v>112.61799999999999</v>
      </c>
      <c r="AJ48" s="66">
        <f t="shared" si="63"/>
        <v>-0.18200000000000216</v>
      </c>
      <c r="AK48" s="66">
        <f t="shared" si="64"/>
        <v>-0.35200000000000387</v>
      </c>
      <c r="AL48" s="72">
        <f t="shared" si="39"/>
        <v>-2.8000000000005798E-2</v>
      </c>
      <c r="AM48" s="72">
        <f t="shared" si="40"/>
        <v>-0.38100000000000023</v>
      </c>
      <c r="AN48" s="72">
        <f t="shared" si="41"/>
        <v>-0.22399999999998954</v>
      </c>
      <c r="AO48" s="72">
        <f t="shared" si="51"/>
        <v>-0.11899999999999977</v>
      </c>
      <c r="AP48" s="72">
        <f t="shared" si="52"/>
        <v>-0.23300000000000409</v>
      </c>
      <c r="AQ48" s="72">
        <f t="shared" si="53"/>
        <v>-0.13700000000000045</v>
      </c>
      <c r="AR48" s="72">
        <f t="shared" si="54"/>
        <v>-0.16400000000000148</v>
      </c>
      <c r="AS48" s="66">
        <f t="shared" si="4"/>
        <v>-0.29600000000000648</v>
      </c>
      <c r="AT48" s="111">
        <f t="shared" si="62"/>
        <v>-0.21199999999998909</v>
      </c>
      <c r="AU48" s="111">
        <f t="shared" si="6"/>
        <v>9.9999999999909051E-3</v>
      </c>
      <c r="AV48" s="14">
        <f t="shared" si="7"/>
        <v>-0.19316666666666768</v>
      </c>
      <c r="AW48" s="73">
        <f t="shared" si="65"/>
        <v>-0.2190000000000083</v>
      </c>
      <c r="AX48" s="72">
        <f t="shared" si="66"/>
        <v>-0.27199999999999136</v>
      </c>
      <c r="AY48" s="72">
        <f t="shared" si="44"/>
        <v>-0.17400000000000659</v>
      </c>
      <c r="AZ48" s="72">
        <f t="shared" si="45"/>
        <v>-0.242999999999995</v>
      </c>
      <c r="BA48" s="72">
        <f t="shared" si="55"/>
        <v>-0.3160000000000025</v>
      </c>
      <c r="BB48" s="72">
        <f t="shared" si="56"/>
        <v>-0.12999999999999545</v>
      </c>
      <c r="BC48" s="72">
        <f t="shared" si="57"/>
        <v>-0.16800000000000637</v>
      </c>
      <c r="BD48" s="72">
        <f t="shared" si="58"/>
        <v>-0.17900000000000205</v>
      </c>
      <c r="BE48" s="72">
        <f t="shared" si="9"/>
        <v>-0.33599999999999852</v>
      </c>
      <c r="BF48" s="72">
        <f t="shared" si="59"/>
        <v>-0.12299999999999045</v>
      </c>
      <c r="BG48" s="72">
        <f t="shared" si="60"/>
        <v>-0.22949999999999449</v>
      </c>
      <c r="BH48" s="72">
        <f t="shared" si="61"/>
        <v>-0.21263636363636351</v>
      </c>
    </row>
    <row r="49" spans="1:60" x14ac:dyDescent="0.25">
      <c r="A49" s="65">
        <v>158</v>
      </c>
      <c r="B49" s="66">
        <v>2198310.21</v>
      </c>
      <c r="C49" s="66">
        <v>6154768.9819999998</v>
      </c>
      <c r="D49" s="66">
        <v>148.58600000000001</v>
      </c>
      <c r="E49" s="67" t="s">
        <v>61</v>
      </c>
      <c r="F49" s="68">
        <v>2011</v>
      </c>
      <c r="G49" s="66">
        <v>150.79400000000001</v>
      </c>
      <c r="H49" s="68">
        <v>2012</v>
      </c>
      <c r="I49" s="66">
        <v>150.71899999999999</v>
      </c>
      <c r="J49" s="68">
        <v>2023</v>
      </c>
      <c r="K49" s="149"/>
      <c r="L49" s="66">
        <v>150.79400000000001</v>
      </c>
      <c r="M49" s="66">
        <v>150.71899999999999</v>
      </c>
      <c r="N49" s="66">
        <v>150.72</v>
      </c>
      <c r="O49" s="66">
        <v>150.69300000000001</v>
      </c>
      <c r="P49" s="66">
        <v>150.35</v>
      </c>
      <c r="Q49" s="66">
        <v>150.328</v>
      </c>
      <c r="R49" s="66">
        <v>150.34100000000001</v>
      </c>
      <c r="S49" s="69">
        <v>150.16200000000001</v>
      </c>
      <c r="T49" s="66">
        <v>150.006</v>
      </c>
      <c r="U49" s="69">
        <v>150.08000000000001</v>
      </c>
      <c r="V49" s="66">
        <v>149.77500000000001</v>
      </c>
      <c r="W49" s="66">
        <v>149.70400000000001</v>
      </c>
      <c r="X49" s="66">
        <v>149.72</v>
      </c>
      <c r="Y49" s="66">
        <v>149.74</v>
      </c>
      <c r="Z49" s="66">
        <v>149.523</v>
      </c>
      <c r="AA49" s="66">
        <v>149.518</v>
      </c>
      <c r="AB49" s="66">
        <v>149.4</v>
      </c>
      <c r="AC49" s="70">
        <v>149.24299999999999</v>
      </c>
      <c r="AD49" s="66">
        <v>149.221</v>
      </c>
      <c r="AE49" s="66">
        <v>148.95699999999999</v>
      </c>
      <c r="AF49" s="66">
        <v>148.905</v>
      </c>
      <c r="AG49" s="66">
        <v>148.72300000000001</v>
      </c>
      <c r="AH49" s="66">
        <v>148.71</v>
      </c>
      <c r="AI49" s="66">
        <v>148.648</v>
      </c>
      <c r="AJ49" s="66">
        <f t="shared" si="63"/>
        <v>-7.4000000000012278E-2</v>
      </c>
      <c r="AK49" s="66">
        <f t="shared" si="64"/>
        <v>-0.37000000000000455</v>
      </c>
      <c r="AL49" s="72">
        <f t="shared" si="39"/>
        <v>-8.9999999999861302E-3</v>
      </c>
      <c r="AM49" s="72">
        <f t="shared" si="40"/>
        <v>-0.33500000000000796</v>
      </c>
      <c r="AN49" s="72">
        <f t="shared" si="41"/>
        <v>-0.23099999999999454</v>
      </c>
      <c r="AO49" s="72">
        <f t="shared" si="51"/>
        <v>-5.5000000000006821E-2</v>
      </c>
      <c r="AP49" s="72">
        <f t="shared" si="52"/>
        <v>-0.19700000000000273</v>
      </c>
      <c r="AQ49" s="72">
        <f t="shared" si="53"/>
        <v>-0.12299999999999045</v>
      </c>
      <c r="AR49" s="72">
        <f t="shared" si="54"/>
        <v>-0.15700000000001069</v>
      </c>
      <c r="AS49" s="66">
        <f t="shared" si="4"/>
        <v>-0.28600000000000136</v>
      </c>
      <c r="AT49" s="111">
        <f t="shared" si="62"/>
        <v>-0.23399999999998045</v>
      </c>
      <c r="AU49" s="111">
        <f t="shared" si="6"/>
        <v>-7.5000000000017053E-2</v>
      </c>
      <c r="AV49" s="14">
        <f t="shared" si="7"/>
        <v>-0.17883333333333459</v>
      </c>
      <c r="AW49" s="73">
        <f t="shared" si="65"/>
        <v>-2.5999999999982037E-2</v>
      </c>
      <c r="AX49" s="72">
        <f t="shared" si="66"/>
        <v>-0.36500000000000909</v>
      </c>
      <c r="AY49" s="72">
        <f t="shared" si="44"/>
        <v>-0.16599999999999682</v>
      </c>
      <c r="AZ49" s="72">
        <f t="shared" si="45"/>
        <v>-8.1999999999993634E-2</v>
      </c>
      <c r="BA49" s="72">
        <f t="shared" si="55"/>
        <v>-0.37600000000000477</v>
      </c>
      <c r="BB49" s="72">
        <f t="shared" si="56"/>
        <v>3.6000000000001364E-2</v>
      </c>
      <c r="BC49" s="72">
        <f t="shared" si="57"/>
        <v>-0.22200000000000841</v>
      </c>
      <c r="BD49" s="72">
        <f t="shared" si="58"/>
        <v>-0.14849999999999852</v>
      </c>
      <c r="BE49" s="72">
        <f t="shared" si="9"/>
        <v>-0.3160000000000025</v>
      </c>
      <c r="BF49" s="72">
        <f t="shared" si="59"/>
        <v>-0.19499999999999318</v>
      </c>
      <c r="BG49" s="72">
        <f t="shared" si="60"/>
        <v>-0.25549999999999784</v>
      </c>
      <c r="BH49" s="72">
        <f t="shared" si="61"/>
        <v>-0.18263636363636238</v>
      </c>
    </row>
    <row r="50" spans="1:60" x14ac:dyDescent="0.25">
      <c r="A50" s="65">
        <v>159</v>
      </c>
      <c r="B50" s="66">
        <v>2186287.753</v>
      </c>
      <c r="C50" s="66">
        <v>6159874.9720000001</v>
      </c>
      <c r="D50" s="66">
        <v>150.196</v>
      </c>
      <c r="E50" s="67" t="s">
        <v>62</v>
      </c>
      <c r="F50" s="68">
        <v>2011</v>
      </c>
      <c r="G50" s="66">
        <v>151.85499999999999</v>
      </c>
      <c r="H50" s="68">
        <v>2012</v>
      </c>
      <c r="I50" s="66">
        <v>151.79900000000001</v>
      </c>
      <c r="J50" s="68">
        <v>2023</v>
      </c>
      <c r="K50" s="149"/>
      <c r="L50" s="66">
        <v>151.85499999999999</v>
      </c>
      <c r="M50" s="66">
        <v>151.79900000000001</v>
      </c>
      <c r="N50" s="66">
        <v>151.80799999999999</v>
      </c>
      <c r="O50" s="66">
        <v>151.79</v>
      </c>
      <c r="P50" s="66">
        <v>151.46799999999999</v>
      </c>
      <c r="Q50" s="66">
        <v>151.465</v>
      </c>
      <c r="R50" s="66">
        <v>151.51</v>
      </c>
      <c r="S50" s="69">
        <v>151.417</v>
      </c>
      <c r="T50" s="66">
        <v>151.214</v>
      </c>
      <c r="U50" s="66">
        <v>151.33500000000001</v>
      </c>
      <c r="V50" s="66">
        <v>151.04</v>
      </c>
      <c r="W50" s="66">
        <v>151.06</v>
      </c>
      <c r="X50" s="66">
        <v>151.06</v>
      </c>
      <c r="Y50" s="66">
        <v>151.11799999999999</v>
      </c>
      <c r="Z50" s="66">
        <v>150.91800000000001</v>
      </c>
      <c r="AA50" s="66">
        <v>150.93600000000001</v>
      </c>
      <c r="AB50" s="66">
        <v>150.82599999999999</v>
      </c>
      <c r="AC50" s="70">
        <v>150.74</v>
      </c>
      <c r="AD50" s="66">
        <v>150.691</v>
      </c>
      <c r="AE50" s="66">
        <v>150.46299999999999</v>
      </c>
      <c r="AF50" s="66">
        <v>150.416</v>
      </c>
      <c r="AG50" s="66">
        <v>150.25399999999999</v>
      </c>
      <c r="AH50" s="66">
        <v>150.29400000000001</v>
      </c>
      <c r="AI50" s="66">
        <v>150.23599999999999</v>
      </c>
      <c r="AJ50" s="66">
        <f t="shared" si="63"/>
        <v>-4.6999999999997044E-2</v>
      </c>
      <c r="AK50" s="66">
        <f t="shared" si="64"/>
        <v>-0.34000000000000341</v>
      </c>
      <c r="AL50" s="72">
        <f t="shared" si="39"/>
        <v>4.2000000000001592E-2</v>
      </c>
      <c r="AM50" s="72">
        <f t="shared" si="40"/>
        <v>-0.29599999999999227</v>
      </c>
      <c r="AN50" s="72">
        <f t="shared" si="41"/>
        <v>-0.17400000000000659</v>
      </c>
      <c r="AO50" s="72">
        <f t="shared" si="51"/>
        <v>2.0000000000010232E-2</v>
      </c>
      <c r="AP50" s="72">
        <f t="shared" si="52"/>
        <v>-0.14199999999999591</v>
      </c>
      <c r="AQ50" s="72">
        <f t="shared" si="53"/>
        <v>-9.200000000001296E-2</v>
      </c>
      <c r="AR50" s="72">
        <f t="shared" si="54"/>
        <v>-8.5999999999984311E-2</v>
      </c>
      <c r="AS50" s="66">
        <f t="shared" si="4"/>
        <v>-0.27700000000001523</v>
      </c>
      <c r="AT50" s="111">
        <f t="shared" si="62"/>
        <v>-0.20900000000000318</v>
      </c>
      <c r="AU50" s="111">
        <f t="shared" si="6"/>
        <v>-1.8000000000000682E-2</v>
      </c>
      <c r="AV50" s="14">
        <f t="shared" si="7"/>
        <v>-0.13491666666666666</v>
      </c>
      <c r="AW50" s="73">
        <f t="shared" si="65"/>
        <v>-9.0000000000145519E-3</v>
      </c>
      <c r="AX50" s="72">
        <f t="shared" si="66"/>
        <v>-0.32499999999998863</v>
      </c>
      <c r="AY50" s="72">
        <f t="shared" si="44"/>
        <v>-4.8000000000001819E-2</v>
      </c>
      <c r="AZ50" s="72">
        <f t="shared" si="45"/>
        <v>-8.1999999999993634E-2</v>
      </c>
      <c r="BA50" s="72">
        <f t="shared" si="55"/>
        <v>-0.27500000000000568</v>
      </c>
      <c r="BB50" s="72">
        <f t="shared" si="56"/>
        <v>5.7999999999992724E-2</v>
      </c>
      <c r="BC50" s="72">
        <f t="shared" si="57"/>
        <v>-0.18199999999998795</v>
      </c>
      <c r="BD50" s="72">
        <f t="shared" si="58"/>
        <v>-0.12250000000000227</v>
      </c>
      <c r="BE50" s="72">
        <f t="shared" si="9"/>
        <v>-0.27500000000000568</v>
      </c>
      <c r="BF50" s="72">
        <f t="shared" si="59"/>
        <v>-0.12199999999998568</v>
      </c>
      <c r="BG50" s="72">
        <f t="shared" si="60"/>
        <v>-0.19849999999999568</v>
      </c>
      <c r="BH50" s="72">
        <f t="shared" si="61"/>
        <v>-0.13681818181818139</v>
      </c>
    </row>
    <row r="51" spans="1:60" s="4" customFormat="1" x14ac:dyDescent="0.25">
      <c r="A51" s="131" t="s">
        <v>63</v>
      </c>
      <c r="B51" s="132">
        <v>2184391.4240000001</v>
      </c>
      <c r="C51" s="132">
        <v>6227465.3090000004</v>
      </c>
      <c r="D51" s="132">
        <f>214.991-1.633</f>
        <v>213.358</v>
      </c>
      <c r="E51" s="19" t="s">
        <v>64</v>
      </c>
      <c r="F51" s="54">
        <v>2011</v>
      </c>
      <c r="G51" s="30">
        <v>214.505</v>
      </c>
      <c r="H51" s="54">
        <v>2012</v>
      </c>
      <c r="I51" s="30">
        <v>214.459</v>
      </c>
      <c r="J51" s="54">
        <v>2023</v>
      </c>
      <c r="K51" s="149"/>
      <c r="L51" s="30">
        <v>214.505</v>
      </c>
      <c r="M51" s="30">
        <v>214.459</v>
      </c>
      <c r="N51" s="30">
        <v>214.387</v>
      </c>
      <c r="O51" s="30">
        <v>214.44300000000001</v>
      </c>
      <c r="P51" s="30">
        <v>214.08699999999999</v>
      </c>
      <c r="Q51" s="30">
        <v>214.03299999999999</v>
      </c>
      <c r="R51" s="14">
        <v>214.06799999999998</v>
      </c>
      <c r="S51" s="128">
        <v>214.03</v>
      </c>
      <c r="T51" s="30">
        <v>213.88899999999998</v>
      </c>
      <c r="U51" s="30">
        <v>213.88199999999998</v>
      </c>
      <c r="V51" s="14">
        <f>215.439-1.663</f>
        <v>213.77599999999998</v>
      </c>
      <c r="W51" s="30">
        <f>215.457-1.663</f>
        <v>213.79399999999998</v>
      </c>
      <c r="X51" s="30">
        <f>215.43-1.663</f>
        <v>213.767</v>
      </c>
      <c r="Y51" s="30">
        <f>215.509-1.663</f>
        <v>213.84599999999998</v>
      </c>
      <c r="Z51" s="30">
        <f>215.306-1.663</f>
        <v>213.643</v>
      </c>
      <c r="AA51" s="30">
        <f>215.4-1.663</f>
        <v>213.73699999999999</v>
      </c>
      <c r="AB51" s="30">
        <f>215.302-1.663</f>
        <v>213.63899999999998</v>
      </c>
      <c r="AC51" s="129">
        <v>213.66499999999999</v>
      </c>
      <c r="AD51" s="30">
        <f>215.399-1.663</f>
        <v>213.73599999999999</v>
      </c>
      <c r="AE51" s="30">
        <f>215.097-1.663</f>
        <v>213.434</v>
      </c>
      <c r="AF51" s="30">
        <f>215.16-1.663</f>
        <v>213.49699999999999</v>
      </c>
      <c r="AG51" s="30">
        <f>215.123-1.663</f>
        <v>213.45999999999998</v>
      </c>
      <c r="AH51" s="30">
        <f>215.149-1.663</f>
        <v>213.48599999999999</v>
      </c>
      <c r="AI51" s="30">
        <f>215.092-1.663</f>
        <v>213.429</v>
      </c>
      <c r="AJ51" s="30">
        <f t="shared" si="63"/>
        <v>-0.117999999999995</v>
      </c>
      <c r="AK51" s="30">
        <f t="shared" si="64"/>
        <v>-0.30000000000001137</v>
      </c>
      <c r="AL51" s="14">
        <f t="shared" si="39"/>
        <v>-1.9000000000005457E-2</v>
      </c>
      <c r="AM51" s="14">
        <f t="shared" si="40"/>
        <v>-0.17900000000000205</v>
      </c>
      <c r="AN51" s="14">
        <f t="shared" si="41"/>
        <v>-0.11299999999999955</v>
      </c>
      <c r="AO51" s="14">
        <f t="shared" si="51"/>
        <v>-8.9999999999861302E-3</v>
      </c>
      <c r="AP51" s="14">
        <f t="shared" si="52"/>
        <v>-0.12399999999999523</v>
      </c>
      <c r="AQ51" s="14">
        <f t="shared" si="53"/>
        <v>-4.0000000000190994E-3</v>
      </c>
      <c r="AR51" s="14">
        <f t="shared" si="54"/>
        <v>2.6000000000010459E-2</v>
      </c>
      <c r="AS51" s="30">
        <f t="shared" si="4"/>
        <v>-0.23099999999999454</v>
      </c>
      <c r="AT51" s="14">
        <f t="shared" si="62"/>
        <v>2.5999999999982037E-2</v>
      </c>
      <c r="AU51" s="111">
        <f t="shared" si="6"/>
        <v>-3.099999999997749E-2</v>
      </c>
      <c r="AV51" s="14">
        <f t="shared" si="7"/>
        <v>-8.9666666666666117E-2</v>
      </c>
      <c r="AW51" s="95">
        <f t="shared" si="65"/>
        <v>-1.5999999999991132E-2</v>
      </c>
      <c r="AX51" s="14">
        <f t="shared" si="66"/>
        <v>-0.41000000000002501</v>
      </c>
      <c r="AY51" s="14">
        <f t="shared" si="44"/>
        <v>-2.9999999999859028E-3</v>
      </c>
      <c r="AZ51" s="14">
        <f t="shared" si="45"/>
        <v>-0.14800000000002456</v>
      </c>
      <c r="BA51" s="14">
        <f t="shared" si="55"/>
        <v>-8.7999999999993861E-2</v>
      </c>
      <c r="BB51" s="14">
        <f t="shared" si="56"/>
        <v>5.1999999999992497E-2</v>
      </c>
      <c r="BC51" s="14">
        <f t="shared" si="57"/>
        <v>-0.10899999999998045</v>
      </c>
      <c r="BD51" s="14">
        <f t="shared" si="58"/>
        <v>-5.0000000000238742E-4</v>
      </c>
      <c r="BE51" s="14">
        <f>AF51-AD51</f>
        <v>-0.23900000000000432</v>
      </c>
      <c r="BF51" s="14">
        <f t="shared" si="59"/>
        <v>-1.099999999999568E-2</v>
      </c>
      <c r="BG51" s="14">
        <f t="shared" si="60"/>
        <v>-0.125</v>
      </c>
      <c r="BH51" s="14">
        <f t="shared" si="61"/>
        <v>-8.845454545454666E-2</v>
      </c>
    </row>
    <row r="52" spans="1:60" x14ac:dyDescent="0.25">
      <c r="A52" s="65">
        <v>162</v>
      </c>
      <c r="B52" s="66">
        <v>2284179.389</v>
      </c>
      <c r="C52" s="66">
        <v>6121191.4649999999</v>
      </c>
      <c r="D52" s="66">
        <v>118.47499999999999</v>
      </c>
      <c r="E52" s="67" t="s">
        <v>65</v>
      </c>
      <c r="F52" s="68">
        <v>2011</v>
      </c>
      <c r="G52" s="66">
        <v>122.021</v>
      </c>
      <c r="H52" s="68">
        <v>2012</v>
      </c>
      <c r="I52" s="66">
        <v>121.717</v>
      </c>
      <c r="J52" s="68">
        <v>2023</v>
      </c>
      <c r="K52" s="149"/>
      <c r="L52" s="66">
        <v>122.021</v>
      </c>
      <c r="M52" s="66">
        <v>121.717</v>
      </c>
      <c r="N52" s="66">
        <v>121.54600000000001</v>
      </c>
      <c r="O52" s="66">
        <v>121.07899999999999</v>
      </c>
      <c r="P52" s="66">
        <v>120.776</v>
      </c>
      <c r="Q52" s="66">
        <v>120.56</v>
      </c>
      <c r="R52" s="66">
        <v>120.566</v>
      </c>
      <c r="S52" s="69">
        <v>120.05500000000001</v>
      </c>
      <c r="T52" s="66">
        <v>119.92400000000001</v>
      </c>
      <c r="U52" s="66">
        <v>119.80800000000001</v>
      </c>
      <c r="V52" s="66">
        <v>119.64100000000001</v>
      </c>
      <c r="W52" s="66">
        <v>119.554</v>
      </c>
      <c r="X52" s="66">
        <v>119.6</v>
      </c>
      <c r="Y52" s="66">
        <v>119.428</v>
      </c>
      <c r="Z52" s="66">
        <v>119.361</v>
      </c>
      <c r="AA52" s="66">
        <v>119.29900000000001</v>
      </c>
      <c r="AB52" s="66">
        <v>119.26600000000001</v>
      </c>
      <c r="AC52" s="70">
        <v>119.057</v>
      </c>
      <c r="AD52" s="66">
        <v>118.9</v>
      </c>
      <c r="AE52" s="66">
        <v>118.818</v>
      </c>
      <c r="AF52" s="66">
        <v>118.62</v>
      </c>
      <c r="AG52" s="66">
        <v>118.545</v>
      </c>
      <c r="AH52" s="66">
        <v>118.599</v>
      </c>
      <c r="AI52" s="66">
        <v>118.631</v>
      </c>
      <c r="AJ52" s="66">
        <f t="shared" si="63"/>
        <v>-0.47499999999999432</v>
      </c>
      <c r="AK52" s="66">
        <f t="shared" si="64"/>
        <v>-0.77000000000001023</v>
      </c>
      <c r="AL52" s="72">
        <f t="shared" si="39"/>
        <v>-0.20999999999999375</v>
      </c>
      <c r="AM52" s="72">
        <f t="shared" si="40"/>
        <v>-0.64199999999999591</v>
      </c>
      <c r="AN52" s="72">
        <f t="shared" si="41"/>
        <v>-0.28300000000000125</v>
      </c>
      <c r="AO52" s="72">
        <f t="shared" si="51"/>
        <v>-4.1000000000011028E-2</v>
      </c>
      <c r="AP52" s="72">
        <f t="shared" si="52"/>
        <v>-0.23899999999999011</v>
      </c>
      <c r="AQ52" s="72">
        <f t="shared" si="53"/>
        <v>-9.4999999999998863E-2</v>
      </c>
      <c r="AR52" s="72">
        <f t="shared" si="54"/>
        <v>-0.20900000000000318</v>
      </c>
      <c r="AS52" s="66">
        <f t="shared" si="4"/>
        <v>-0.23900000000000432</v>
      </c>
      <c r="AT52" s="111">
        <f t="shared" si="62"/>
        <v>-0.27299999999999613</v>
      </c>
      <c r="AU52" s="111">
        <f t="shared" si="6"/>
        <v>8.5999999999998522E-2</v>
      </c>
      <c r="AV52" s="14">
        <f t="shared" si="7"/>
        <v>-0.28250000000000003</v>
      </c>
      <c r="AW52" s="73">
        <f t="shared" si="65"/>
        <v>-0.63800000000000523</v>
      </c>
      <c r="AX52" s="72">
        <f t="shared" si="66"/>
        <v>-0.51899999999999125</v>
      </c>
      <c r="AY52" s="72">
        <f t="shared" si="44"/>
        <v>-0.50499999999999545</v>
      </c>
      <c r="AZ52" s="72">
        <f t="shared" si="45"/>
        <v>-0.24699999999999989</v>
      </c>
      <c r="BA52" s="72">
        <f t="shared" si="55"/>
        <v>-0.25400000000000489</v>
      </c>
      <c r="BB52" s="72">
        <f t="shared" si="56"/>
        <v>-0.12600000000000477</v>
      </c>
      <c r="BC52" s="72">
        <f t="shared" si="57"/>
        <v>-0.12899999999999068</v>
      </c>
      <c r="BD52" s="72">
        <f t="shared" si="58"/>
        <v>-0.19950000000000045</v>
      </c>
      <c r="BE52" s="72">
        <f t="shared" si="9"/>
        <v>-0.28000000000000114</v>
      </c>
      <c r="BF52" s="72">
        <f t="shared" si="59"/>
        <v>-2.1000000000000796E-2</v>
      </c>
      <c r="BG52" s="72">
        <f t="shared" si="60"/>
        <v>-0.15050000000000097</v>
      </c>
      <c r="BH52" s="72">
        <f t="shared" si="61"/>
        <v>-0.28345454545454501</v>
      </c>
    </row>
    <row r="53" spans="1:60" x14ac:dyDescent="0.25">
      <c r="A53" s="65">
        <v>165</v>
      </c>
      <c r="B53" s="66">
        <v>2210796.679</v>
      </c>
      <c r="C53" s="66">
        <v>6330511.5460000001</v>
      </c>
      <c r="D53" s="66">
        <v>372.49</v>
      </c>
      <c r="E53" s="67" t="s">
        <v>66</v>
      </c>
      <c r="F53" s="68">
        <v>2017</v>
      </c>
      <c r="G53" s="66">
        <v>372.86</v>
      </c>
      <c r="H53" s="68">
        <v>2018</v>
      </c>
      <c r="I53" s="66">
        <v>372.89499999999998</v>
      </c>
      <c r="J53" s="68">
        <v>2023</v>
      </c>
      <c r="K53" s="149"/>
      <c r="L53" s="66"/>
      <c r="M53" s="66"/>
      <c r="N53" s="66"/>
      <c r="O53" s="66"/>
      <c r="P53" s="66"/>
      <c r="Q53" s="66"/>
      <c r="R53" s="66"/>
      <c r="S53" s="69"/>
      <c r="T53" s="66"/>
      <c r="U53" s="69"/>
      <c r="V53" s="66"/>
      <c r="W53" s="66"/>
      <c r="X53" s="66">
        <v>372.86</v>
      </c>
      <c r="Y53" s="66">
        <v>372.89499999999998</v>
      </c>
      <c r="Z53" s="66">
        <v>372.66500000000002</v>
      </c>
      <c r="AA53" s="66">
        <v>372.81200000000001</v>
      </c>
      <c r="AB53" s="66">
        <v>372.69400000000002</v>
      </c>
      <c r="AC53" s="70">
        <v>372.685</v>
      </c>
      <c r="AD53" s="66">
        <v>372.73899999999998</v>
      </c>
      <c r="AE53" s="66">
        <v>372.54700000000003</v>
      </c>
      <c r="AF53" s="66">
        <v>372.58199999999999</v>
      </c>
      <c r="AG53" s="66">
        <v>372.50099999999998</v>
      </c>
      <c r="AH53" s="66">
        <v>372.57299999999998</v>
      </c>
      <c r="AI53" s="66">
        <v>372.642</v>
      </c>
      <c r="AJ53" s="66"/>
      <c r="AK53" s="66"/>
      <c r="AL53" s="72"/>
      <c r="AM53" s="72"/>
      <c r="AN53" s="72"/>
      <c r="AO53" s="72" t="s">
        <v>21</v>
      </c>
      <c r="AP53" s="72">
        <f t="shared" si="52"/>
        <v>-0.19499999999999318</v>
      </c>
      <c r="AQ53" s="72">
        <f t="shared" si="53"/>
        <v>2.8999999999996362E-2</v>
      </c>
      <c r="AR53" s="72">
        <f t="shared" si="54"/>
        <v>-9.0000000000145519E-3</v>
      </c>
      <c r="AS53" s="66">
        <f t="shared" si="4"/>
        <v>-0.13799999999997681</v>
      </c>
      <c r="AT53" s="111">
        <f t="shared" si="62"/>
        <v>-4.6000000000049113E-2</v>
      </c>
      <c r="AU53" s="111">
        <f t="shared" si="6"/>
        <v>0.14100000000001955</v>
      </c>
      <c r="AV53" s="108">
        <f t="shared" si="7"/>
        <v>-3.6333333333336292E-2</v>
      </c>
      <c r="AW53" s="73"/>
      <c r="AX53" s="72"/>
      <c r="AY53" s="72"/>
      <c r="AZ53" s="72"/>
      <c r="BA53" s="72"/>
      <c r="BB53" s="72"/>
      <c r="BC53" s="72">
        <f t="shared" si="57"/>
        <v>-8.2999999999969987E-2</v>
      </c>
      <c r="BD53" s="72">
        <f t="shared" si="58"/>
        <v>-3.6500000000017963E-2</v>
      </c>
      <c r="BE53" s="72">
        <f t="shared" si="9"/>
        <v>-0.15699999999998226</v>
      </c>
      <c r="BF53" s="72">
        <f t="shared" si="59"/>
        <v>-9.0000000000145519E-3</v>
      </c>
      <c r="BG53" s="72">
        <f t="shared" si="60"/>
        <v>-8.2999999999998408E-2</v>
      </c>
      <c r="BH53" s="72">
        <f t="shared" si="61"/>
        <v>-6.440000000000054E-2</v>
      </c>
    </row>
    <row r="54" spans="1:60" x14ac:dyDescent="0.25">
      <c r="A54" s="65">
        <v>170</v>
      </c>
      <c r="B54" s="66">
        <v>2335285.3769999999</v>
      </c>
      <c r="C54" s="66">
        <v>6066327.0039999997</v>
      </c>
      <c r="D54" s="66">
        <v>97.155000000000001</v>
      </c>
      <c r="E54" s="67" t="s">
        <v>67</v>
      </c>
      <c r="F54" s="68">
        <v>2013</v>
      </c>
      <c r="G54" s="66">
        <v>98.338999999999999</v>
      </c>
      <c r="H54" s="68">
        <v>2014</v>
      </c>
      <c r="I54" s="66">
        <v>98.378</v>
      </c>
      <c r="J54" s="68">
        <v>2023</v>
      </c>
      <c r="K54" s="149"/>
      <c r="L54" s="66"/>
      <c r="M54" s="66"/>
      <c r="N54" s="66"/>
      <c r="O54" s="66"/>
      <c r="P54" s="66">
        <v>98.338999999999999</v>
      </c>
      <c r="Q54" s="66">
        <v>98.378</v>
      </c>
      <c r="R54" s="66">
        <v>98.266000000000005</v>
      </c>
      <c r="S54" s="69">
        <v>98.063999999999993</v>
      </c>
      <c r="T54" s="66">
        <v>97.944999999999993</v>
      </c>
      <c r="U54" s="69">
        <v>97.888000000000005</v>
      </c>
      <c r="V54" s="66">
        <v>97.837999999999994</v>
      </c>
      <c r="W54" s="66">
        <v>97.897999999999996</v>
      </c>
      <c r="X54" s="66">
        <v>97.93</v>
      </c>
      <c r="Y54" s="66">
        <v>97.756</v>
      </c>
      <c r="Z54" s="66">
        <v>97.763999999999996</v>
      </c>
      <c r="AA54" s="66">
        <v>97.807000000000002</v>
      </c>
      <c r="AB54" s="66">
        <v>97.748000000000005</v>
      </c>
      <c r="AC54" s="70">
        <v>97.6</v>
      </c>
      <c r="AD54" s="66">
        <v>97.492000000000004</v>
      </c>
      <c r="AE54" s="66">
        <v>97.385999999999996</v>
      </c>
      <c r="AF54" s="66">
        <v>97.316999999999993</v>
      </c>
      <c r="AG54" s="66">
        <v>97.153000000000006</v>
      </c>
      <c r="AH54" s="66">
        <v>97.203000000000003</v>
      </c>
      <c r="AI54" s="66">
        <v>97.299000000000007</v>
      </c>
      <c r="AJ54" s="66"/>
      <c r="AK54" s="66"/>
      <c r="AL54" s="72">
        <f>R54-P54</f>
        <v>-7.2999999999993292E-2</v>
      </c>
      <c r="AM54" s="72">
        <f>T54-R54</f>
        <v>-0.32100000000001216</v>
      </c>
      <c r="AN54" s="72">
        <f>V54-T54</f>
        <v>-0.10699999999999932</v>
      </c>
      <c r="AO54" s="72">
        <f>X54-V54</f>
        <v>9.200000000001296E-2</v>
      </c>
      <c r="AP54" s="72">
        <f t="shared" si="52"/>
        <v>-0.16600000000001103</v>
      </c>
      <c r="AQ54" s="72">
        <f t="shared" si="53"/>
        <v>-1.5999999999991132E-2</v>
      </c>
      <c r="AR54" s="72">
        <f t="shared" si="54"/>
        <v>-0.14800000000001035</v>
      </c>
      <c r="AS54" s="66">
        <f t="shared" si="4"/>
        <v>-0.21399999999999864</v>
      </c>
      <c r="AT54" s="111">
        <f t="shared" si="62"/>
        <v>-0.23299999999998988</v>
      </c>
      <c r="AU54" s="111">
        <f t="shared" si="6"/>
        <v>0.1460000000000008</v>
      </c>
      <c r="AV54" s="108">
        <f t="shared" si="7"/>
        <v>-0.1039999999999992</v>
      </c>
      <c r="AW54" s="73"/>
      <c r="AX54" s="71"/>
      <c r="AY54" s="72">
        <f>S54-Q54</f>
        <v>-0.31400000000000716</v>
      </c>
      <c r="AZ54" s="72">
        <f>U54-S54</f>
        <v>-0.17599999999998772</v>
      </c>
      <c r="BA54" s="72">
        <f>W54-U54</f>
        <v>9.9999999999909051E-3</v>
      </c>
      <c r="BB54" s="72">
        <f>Y54-W54</f>
        <v>-0.14199999999999591</v>
      </c>
      <c r="BC54" s="72">
        <f t="shared" si="57"/>
        <v>5.1000000000001933E-2</v>
      </c>
      <c r="BD54" s="72">
        <f t="shared" si="58"/>
        <v>-0.15749999999999886</v>
      </c>
      <c r="BE54" s="72">
        <f t="shared" si="9"/>
        <v>-0.17500000000001137</v>
      </c>
      <c r="BF54" s="72">
        <f t="shared" si="59"/>
        <v>-0.11399999999999011</v>
      </c>
      <c r="BG54" s="72">
        <f t="shared" si="60"/>
        <v>-0.14450000000000074</v>
      </c>
      <c r="BH54" s="72">
        <f t="shared" si="61"/>
        <v>-0.13055555555555523</v>
      </c>
    </row>
    <row r="55" spans="1:60" s="4" customFormat="1" x14ac:dyDescent="0.25">
      <c r="A55" s="131" t="s">
        <v>68</v>
      </c>
      <c r="B55" s="132">
        <v>2203302.8560000001</v>
      </c>
      <c r="C55" s="132">
        <v>6176146.693</v>
      </c>
      <c r="D55" s="132">
        <f>169.042-11.23</f>
        <v>157.81200000000001</v>
      </c>
      <c r="E55" s="19" t="s">
        <v>69</v>
      </c>
      <c r="F55" s="54">
        <v>2017</v>
      </c>
      <c r="G55" s="30">
        <v>159.19</v>
      </c>
      <c r="H55" s="54">
        <v>2017</v>
      </c>
      <c r="I55" s="30">
        <v>159.16399999999999</v>
      </c>
      <c r="J55" s="54">
        <v>2023</v>
      </c>
      <c r="K55" s="149"/>
      <c r="L55" s="30"/>
      <c r="M55" s="30"/>
      <c r="N55" s="30"/>
      <c r="O55" s="30"/>
      <c r="P55" s="30"/>
      <c r="Q55" s="30"/>
      <c r="R55" s="30"/>
      <c r="S55" s="128"/>
      <c r="T55" s="30"/>
      <c r="U55" s="128"/>
      <c r="V55" s="30"/>
      <c r="W55" s="30">
        <v>159.16399999999999</v>
      </c>
      <c r="X55" s="30">
        <v>159.19</v>
      </c>
      <c r="Y55" s="30">
        <v>159.14400000000001</v>
      </c>
      <c r="Z55" s="95">
        <f>170.187-11.23</f>
        <v>158.95700000000002</v>
      </c>
      <c r="AA55" s="95">
        <f>170.2-11.23</f>
        <v>158.97</v>
      </c>
      <c r="AB55" s="30">
        <f>170.001-11.23</f>
        <v>158.77100000000002</v>
      </c>
      <c r="AC55" s="129">
        <v>158.57900000000001</v>
      </c>
      <c r="AD55" s="30">
        <f>169.787-11.23</f>
        <v>158.55700000000002</v>
      </c>
      <c r="AE55" s="30">
        <f>169.563-11.23</f>
        <v>158.333</v>
      </c>
      <c r="AF55" s="30">
        <f>169.442-11.23</f>
        <v>158.21200000000002</v>
      </c>
      <c r="AG55" s="30">
        <f>169.306-11.23</f>
        <v>158.07600000000002</v>
      </c>
      <c r="AH55" s="30">
        <f>169.136-11.23</f>
        <v>157.90600000000001</v>
      </c>
      <c r="AI55" s="30">
        <f>169.102-11.23</f>
        <v>157.87200000000001</v>
      </c>
      <c r="AJ55" s="30"/>
      <c r="AK55" s="30"/>
      <c r="AL55" s="14"/>
      <c r="AM55" s="14"/>
      <c r="AN55" s="14"/>
      <c r="AO55" s="14" t="s">
        <v>21</v>
      </c>
      <c r="AP55" s="14">
        <f t="shared" si="52"/>
        <v>-0.23299999999997567</v>
      </c>
      <c r="AQ55" s="14">
        <f t="shared" si="53"/>
        <v>-0.18600000000000705</v>
      </c>
      <c r="AR55" s="14">
        <f t="shared" si="54"/>
        <v>-0.19200000000000728</v>
      </c>
      <c r="AS55" s="30">
        <f t="shared" si="4"/>
        <v>-0.24600000000000932</v>
      </c>
      <c r="AT55" s="14">
        <f t="shared" si="62"/>
        <v>-0.25699999999997658</v>
      </c>
      <c r="AU55" s="111">
        <f t="shared" si="6"/>
        <v>-0.20400000000000773</v>
      </c>
      <c r="AV55" s="108">
        <f t="shared" si="7"/>
        <v>-0.21966666666666393</v>
      </c>
      <c r="AW55" s="95"/>
      <c r="AX55" s="108"/>
      <c r="AY55" s="14"/>
      <c r="AZ55" s="14"/>
      <c r="BA55" s="14"/>
      <c r="BB55" s="14">
        <f>Y55-W55</f>
        <v>-1.999999999998181E-2</v>
      </c>
      <c r="BC55" s="14">
        <f t="shared" si="57"/>
        <v>-0.17400000000000659</v>
      </c>
      <c r="BD55" s="14">
        <f t="shared" si="58"/>
        <v>-0.20649999999999125</v>
      </c>
      <c r="BE55" s="14">
        <f t="shared" si="9"/>
        <v>-0.34499999999999886</v>
      </c>
      <c r="BF55" s="14">
        <f t="shared" si="59"/>
        <v>-0.3060000000000116</v>
      </c>
      <c r="BG55" s="14">
        <f t="shared" si="60"/>
        <v>-0.32550000000000523</v>
      </c>
      <c r="BH55" s="14">
        <f t="shared" si="61"/>
        <v>-0.20966666666666356</v>
      </c>
    </row>
    <row r="56" spans="1:60" x14ac:dyDescent="0.25">
      <c r="A56" s="65">
        <v>202</v>
      </c>
      <c r="B56" s="66">
        <v>2178457.8969999999</v>
      </c>
      <c r="C56" s="66">
        <v>6331655.0619999999</v>
      </c>
      <c r="D56" s="66">
        <v>324.05200000000002</v>
      </c>
      <c r="E56" s="67" t="s">
        <v>48</v>
      </c>
      <c r="F56" s="68">
        <v>2017</v>
      </c>
      <c r="G56" s="66">
        <v>324.13</v>
      </c>
      <c r="H56" s="68">
        <v>2018</v>
      </c>
      <c r="I56" s="66">
        <v>324.22800000000001</v>
      </c>
      <c r="J56" s="68">
        <v>2023</v>
      </c>
      <c r="K56" s="149"/>
      <c r="L56" s="66"/>
      <c r="M56" s="66"/>
      <c r="N56" s="66"/>
      <c r="O56" s="66"/>
      <c r="P56" s="66"/>
      <c r="Q56" s="66"/>
      <c r="R56" s="66"/>
      <c r="S56" s="69"/>
      <c r="T56" s="66"/>
      <c r="U56" s="69"/>
      <c r="V56" s="66"/>
      <c r="W56" s="66"/>
      <c r="X56" s="66">
        <v>324.13</v>
      </c>
      <c r="Y56" s="66">
        <v>324.22800000000001</v>
      </c>
      <c r="Z56" s="66">
        <v>323.983</v>
      </c>
      <c r="AA56" s="66">
        <v>324.154</v>
      </c>
      <c r="AB56" s="66">
        <v>324.04599999999999</v>
      </c>
      <c r="AC56" s="70">
        <v>324.11799999999999</v>
      </c>
      <c r="AD56" s="66">
        <v>324.18</v>
      </c>
      <c r="AE56" s="66">
        <v>323.96800000000002</v>
      </c>
      <c r="AF56" s="66">
        <v>324.12200000000001</v>
      </c>
      <c r="AG56" s="66">
        <v>324.03800000000001</v>
      </c>
      <c r="AH56" s="66">
        <v>324.02199999999999</v>
      </c>
      <c r="AI56" s="66">
        <v>324.15600000000001</v>
      </c>
      <c r="AJ56" s="66"/>
      <c r="AK56" s="66"/>
      <c r="AL56" s="72"/>
      <c r="AM56" s="72"/>
      <c r="AN56" s="72"/>
      <c r="AO56" s="72" t="s">
        <v>21</v>
      </c>
      <c r="AP56" s="72">
        <f t="shared" si="52"/>
        <v>-0.14699999999999136</v>
      </c>
      <c r="AQ56" s="72">
        <f t="shared" si="53"/>
        <v>6.2999999999988177E-2</v>
      </c>
      <c r="AR56" s="72">
        <f t="shared" si="54"/>
        <v>7.2000000000002728E-2</v>
      </c>
      <c r="AS56" s="66">
        <f t="shared" si="4"/>
        <v>-0.14999999999997726</v>
      </c>
      <c r="AT56" s="111">
        <f t="shared" si="62"/>
        <v>6.9999999999993179E-2</v>
      </c>
      <c r="AU56" s="111">
        <f t="shared" si="6"/>
        <v>0.117999999999995</v>
      </c>
      <c r="AV56" s="108">
        <f t="shared" si="7"/>
        <v>4.3333333333350765E-3</v>
      </c>
      <c r="AW56" s="73"/>
      <c r="AX56" s="71"/>
      <c r="AY56" s="72"/>
      <c r="AZ56" s="72"/>
      <c r="BA56" s="72"/>
      <c r="BB56" s="72"/>
      <c r="BC56" s="72">
        <f t="shared" si="57"/>
        <v>-7.4000000000012278E-2</v>
      </c>
      <c r="BD56" s="72">
        <f t="shared" si="58"/>
        <v>1.300000000000523E-2</v>
      </c>
      <c r="BE56" s="72">
        <f t="shared" si="9"/>
        <v>-5.7999999999992724E-2</v>
      </c>
      <c r="BF56" s="72">
        <f t="shared" si="59"/>
        <v>-0.10000000000002274</v>
      </c>
      <c r="BG56" s="72">
        <f t="shared" si="60"/>
        <v>-7.9000000000007731E-2</v>
      </c>
      <c r="BH56" s="72">
        <f t="shared" si="61"/>
        <v>-4.1200000000003456E-2</v>
      </c>
    </row>
    <row r="57" spans="1:60" x14ac:dyDescent="0.25">
      <c r="A57" s="65" t="s">
        <v>70</v>
      </c>
      <c r="B57" s="66">
        <v>2224869.068</v>
      </c>
      <c r="C57" s="66">
        <v>6157684.9500000002</v>
      </c>
      <c r="D57" s="66">
        <v>143.864</v>
      </c>
      <c r="E57" s="67" t="s">
        <v>71</v>
      </c>
      <c r="F57" s="68">
        <v>2012</v>
      </c>
      <c r="G57" s="66">
        <v>147.393</v>
      </c>
      <c r="H57" s="68">
        <v>2012</v>
      </c>
      <c r="I57" s="66">
        <v>147.45500000000001</v>
      </c>
      <c r="J57" s="68">
        <v>2023</v>
      </c>
      <c r="K57" s="149"/>
      <c r="L57" s="66"/>
      <c r="M57" s="66">
        <v>147.45500000000001</v>
      </c>
      <c r="N57" s="66">
        <v>147.393</v>
      </c>
      <c r="O57" s="66">
        <v>147.31700000000001</v>
      </c>
      <c r="P57" s="66">
        <v>146.78800000000001</v>
      </c>
      <c r="Q57" s="66">
        <v>146.714</v>
      </c>
      <c r="R57" s="66">
        <v>146.69900000000001</v>
      </c>
      <c r="S57" s="69">
        <v>146.428</v>
      </c>
      <c r="T57" s="66">
        <v>146.23099999999999</v>
      </c>
      <c r="U57" s="66">
        <v>146.02199999999999</v>
      </c>
      <c r="V57" s="66">
        <v>145.68199999999999</v>
      </c>
      <c r="W57" s="66">
        <v>145.471</v>
      </c>
      <c r="X57" s="66">
        <v>145.41</v>
      </c>
      <c r="Y57" s="66">
        <v>145.30000000000001</v>
      </c>
      <c r="Z57" s="66">
        <v>145.08000000000001</v>
      </c>
      <c r="AA57" s="66">
        <v>144.96100000000001</v>
      </c>
      <c r="AB57" s="66">
        <v>144.863</v>
      </c>
      <c r="AC57" s="70">
        <v>144.66300000000001</v>
      </c>
      <c r="AD57" s="66">
        <v>144.55000000000001</v>
      </c>
      <c r="AE57" s="66">
        <v>144.34299999999999</v>
      </c>
      <c r="AF57" s="66">
        <v>144.208</v>
      </c>
      <c r="AG57" s="66">
        <v>144.13399999999999</v>
      </c>
      <c r="AH57" s="66">
        <v>144.01599999999999</v>
      </c>
      <c r="AI57" s="66">
        <v>144.00399999999999</v>
      </c>
      <c r="AJ57" s="71"/>
      <c r="AK57" s="66">
        <f>P57-N57</f>
        <v>-0.60499999999998977</v>
      </c>
      <c r="AL57" s="72">
        <f t="shared" ref="AL57:AL77" si="67">R57-P57</f>
        <v>-8.8999999999998636E-2</v>
      </c>
      <c r="AM57" s="72">
        <f t="shared" ref="AM57:AM77" si="68">T57-R57</f>
        <v>-0.46800000000001774</v>
      </c>
      <c r="AN57" s="72">
        <f t="shared" ref="AN57:AN77" si="69">V57-T57</f>
        <v>-0.54900000000000659</v>
      </c>
      <c r="AO57" s="72">
        <f t="shared" ref="AO57:AO71" si="70">X57-V57</f>
        <v>-0.27199999999999136</v>
      </c>
      <c r="AP57" s="72">
        <f t="shared" si="52"/>
        <v>-0.32999999999998408</v>
      </c>
      <c r="AQ57" s="72">
        <f t="shared" si="53"/>
        <v>-0.21700000000001296</v>
      </c>
      <c r="AR57" s="72">
        <f t="shared" si="54"/>
        <v>-0.19999999999998863</v>
      </c>
      <c r="AS57" s="66">
        <f t="shared" si="4"/>
        <v>-0.3200000000000216</v>
      </c>
      <c r="AT57" s="111">
        <f t="shared" si="62"/>
        <v>-0.20900000000000318</v>
      </c>
      <c r="AU57" s="111">
        <f t="shared" si="6"/>
        <v>-0.12999999999999545</v>
      </c>
      <c r="AV57" s="108">
        <f t="shared" si="7"/>
        <v>-0.30809090909091003</v>
      </c>
      <c r="AW57" s="73">
        <f t="shared" ref="AW57:AW74" si="71">O57-M57</f>
        <v>-0.13800000000000523</v>
      </c>
      <c r="AX57" s="72">
        <f t="shared" ref="AX57:AX74" si="72">Q57-O57</f>
        <v>-0.60300000000000864</v>
      </c>
      <c r="AY57" s="72">
        <f t="shared" ref="AY57:AY77" si="73">S57-Q57</f>
        <v>-0.28600000000000136</v>
      </c>
      <c r="AZ57" s="72">
        <f t="shared" ref="AZ57:AZ77" si="74">U57-S57</f>
        <v>-0.40600000000000591</v>
      </c>
      <c r="BA57" s="72">
        <f t="shared" ref="BA57:BA73" si="75">W57-U57</f>
        <v>-0.55099999999998772</v>
      </c>
      <c r="BB57" s="72">
        <f t="shared" ref="BB57:BB83" si="76">Y57-W57</f>
        <v>-0.17099999999999227</v>
      </c>
      <c r="BC57" s="72">
        <f t="shared" si="57"/>
        <v>-0.33899999999999864</v>
      </c>
      <c r="BD57" s="72">
        <f t="shared" si="58"/>
        <v>-0.20550000000000068</v>
      </c>
      <c r="BE57" s="72">
        <f t="shared" si="9"/>
        <v>-0.34200000000001296</v>
      </c>
      <c r="BF57" s="72">
        <f t="shared" si="59"/>
        <v>-0.19200000000000728</v>
      </c>
      <c r="BG57" s="72">
        <f t="shared" si="60"/>
        <v>-0.26700000000001012</v>
      </c>
      <c r="BH57" s="72">
        <f t="shared" si="61"/>
        <v>-0.3126363636363656</v>
      </c>
    </row>
    <row r="58" spans="1:60" x14ac:dyDescent="0.25">
      <c r="A58" s="65">
        <v>1009</v>
      </c>
      <c r="B58" s="66">
        <v>2233366.838</v>
      </c>
      <c r="C58" s="66">
        <v>6122386.7649999997</v>
      </c>
      <c r="D58" s="66">
        <v>126.81699999999999</v>
      </c>
      <c r="E58" s="67" t="s">
        <v>72</v>
      </c>
      <c r="F58" s="68">
        <v>2012</v>
      </c>
      <c r="G58" s="66">
        <v>129.38800000000001</v>
      </c>
      <c r="H58" s="68">
        <v>2012</v>
      </c>
      <c r="I58" s="66">
        <v>129.43899999999999</v>
      </c>
      <c r="J58" s="68">
        <v>2023</v>
      </c>
      <c r="K58" s="149"/>
      <c r="L58" s="66"/>
      <c r="M58" s="66">
        <v>129.43899999999999</v>
      </c>
      <c r="N58" s="66">
        <v>129.38800000000001</v>
      </c>
      <c r="O58" s="66">
        <v>129.27199999999999</v>
      </c>
      <c r="P58" s="66">
        <v>128.97900000000001</v>
      </c>
      <c r="Q58" s="66">
        <v>128.81899999999999</v>
      </c>
      <c r="R58" s="66">
        <v>128.83099999999999</v>
      </c>
      <c r="S58" s="69">
        <v>128.46</v>
      </c>
      <c r="T58" s="66">
        <v>128.26599999999999</v>
      </c>
      <c r="U58" s="69">
        <v>128.23400000000001</v>
      </c>
      <c r="V58" s="66">
        <v>128.00800000000001</v>
      </c>
      <c r="W58" s="66">
        <v>127.89</v>
      </c>
      <c r="X58" s="66">
        <v>127.9</v>
      </c>
      <c r="Y58" s="66">
        <v>127.851</v>
      </c>
      <c r="Z58" s="66">
        <v>127.679</v>
      </c>
      <c r="AA58" s="66">
        <v>127.645</v>
      </c>
      <c r="AB58" s="66">
        <v>127.547</v>
      </c>
      <c r="AC58" s="70">
        <v>127.389</v>
      </c>
      <c r="AD58" s="66">
        <v>127.28700000000001</v>
      </c>
      <c r="AE58" s="66">
        <v>127.142</v>
      </c>
      <c r="AF58" s="66">
        <v>127.057</v>
      </c>
      <c r="AG58" s="66">
        <v>126.955</v>
      </c>
      <c r="AH58" s="66">
        <v>126.923</v>
      </c>
      <c r="AI58" s="66">
        <v>126.965</v>
      </c>
      <c r="AJ58" s="71"/>
      <c r="AK58" s="66">
        <f>P58-N58</f>
        <v>-0.40899999999999181</v>
      </c>
      <c r="AL58" s="72">
        <f t="shared" si="67"/>
        <v>-0.14800000000002456</v>
      </c>
      <c r="AM58" s="72">
        <f t="shared" si="68"/>
        <v>-0.56499999999999773</v>
      </c>
      <c r="AN58" s="72">
        <f t="shared" si="69"/>
        <v>-0.25799999999998136</v>
      </c>
      <c r="AO58" s="72">
        <f t="shared" si="70"/>
        <v>-0.10800000000000409</v>
      </c>
      <c r="AP58" s="72">
        <f t="shared" si="52"/>
        <v>-0.22100000000000364</v>
      </c>
      <c r="AQ58" s="72">
        <f t="shared" si="53"/>
        <v>-0.132000000000005</v>
      </c>
      <c r="AR58" s="72">
        <f t="shared" si="54"/>
        <v>-0.15800000000000125</v>
      </c>
      <c r="AS58" s="66">
        <f t="shared" si="4"/>
        <v>-0.24699999999999989</v>
      </c>
      <c r="AT58" s="111">
        <f t="shared" si="62"/>
        <v>-0.18699999999999761</v>
      </c>
      <c r="AU58" s="111">
        <f t="shared" si="6"/>
        <v>1.0000000000005116E-2</v>
      </c>
      <c r="AV58" s="108">
        <f t="shared" si="7"/>
        <v>-0.22027272727272743</v>
      </c>
      <c r="AW58" s="73">
        <f t="shared" si="71"/>
        <v>-0.16700000000000159</v>
      </c>
      <c r="AX58" s="72">
        <f t="shared" si="72"/>
        <v>-0.45300000000000296</v>
      </c>
      <c r="AY58" s="72">
        <f t="shared" si="73"/>
        <v>-0.35899999999998045</v>
      </c>
      <c r="AZ58" s="72">
        <f t="shared" si="74"/>
        <v>-0.22599999999999909</v>
      </c>
      <c r="BA58" s="72">
        <f t="shared" si="75"/>
        <v>-0.3440000000000083</v>
      </c>
      <c r="BB58" s="72">
        <f t="shared" si="76"/>
        <v>-3.9000000000001478E-2</v>
      </c>
      <c r="BC58" s="72">
        <f t="shared" si="57"/>
        <v>-0.20600000000000307</v>
      </c>
      <c r="BD58" s="72">
        <f t="shared" si="58"/>
        <v>-0.17899999999999494</v>
      </c>
      <c r="BE58" s="72">
        <f t="shared" si="9"/>
        <v>-0.23000000000000398</v>
      </c>
      <c r="BF58" s="72">
        <f t="shared" si="59"/>
        <v>-0.13400000000000034</v>
      </c>
      <c r="BG58" s="72">
        <f t="shared" si="60"/>
        <v>-0.18200000000000216</v>
      </c>
      <c r="BH58" s="72">
        <f t="shared" si="61"/>
        <v>-0.22872727272727192</v>
      </c>
    </row>
    <row r="59" spans="1:60" s="4" customFormat="1" x14ac:dyDescent="0.25">
      <c r="A59" s="131" t="s">
        <v>73</v>
      </c>
      <c r="B59" s="132">
        <v>2241368.2250000001</v>
      </c>
      <c r="C59" s="132">
        <v>6157691.9110000003</v>
      </c>
      <c r="D59" s="132">
        <f>148.866-7.877</f>
        <v>140.989</v>
      </c>
      <c r="E59" s="19" t="s">
        <v>74</v>
      </c>
      <c r="F59" s="54">
        <v>2012</v>
      </c>
      <c r="G59" s="30">
        <v>146.75399999999999</v>
      </c>
      <c r="H59" s="54">
        <v>2012</v>
      </c>
      <c r="I59" s="30">
        <v>147.08500000000001</v>
      </c>
      <c r="J59" s="54">
        <v>2023</v>
      </c>
      <c r="K59" s="149"/>
      <c r="L59" s="30"/>
      <c r="M59" s="30">
        <v>147.08500000000001</v>
      </c>
      <c r="N59" s="30">
        <v>146.75399999999999</v>
      </c>
      <c r="O59" s="30">
        <v>146.453</v>
      </c>
      <c r="P59" s="30">
        <v>145.941</v>
      </c>
      <c r="Q59" s="30">
        <v>145.679</v>
      </c>
      <c r="R59" s="30">
        <v>145.52199999999999</v>
      </c>
      <c r="S59" s="128">
        <v>145.08000000000001</v>
      </c>
      <c r="T59" s="30">
        <v>144.75099999999998</v>
      </c>
      <c r="U59" s="30">
        <v>144.393</v>
      </c>
      <c r="V59" s="14">
        <f>151.881-7.877</f>
        <v>144.00399999999999</v>
      </c>
      <c r="W59" s="30">
        <f>151.558-7.877</f>
        <v>143.68099999999998</v>
      </c>
      <c r="X59" s="30">
        <f>151.42-7.877</f>
        <v>143.54299999999998</v>
      </c>
      <c r="Y59" s="30">
        <f>151.083-7.877</f>
        <v>143.20599999999999</v>
      </c>
      <c r="Z59" s="30">
        <f>150.822-7.877</f>
        <v>142.94499999999999</v>
      </c>
      <c r="AA59" s="30">
        <f>150.55-7.877</f>
        <v>142.673</v>
      </c>
      <c r="AB59" s="30">
        <f>150.397-7.877</f>
        <v>142.51999999999998</v>
      </c>
      <c r="AC59" s="129">
        <v>142.16999999999999</v>
      </c>
      <c r="AD59" s="30">
        <f>149.802-7.877</f>
        <v>141.92499999999998</v>
      </c>
      <c r="AE59" s="30">
        <f>149.581-7.877</f>
        <v>141.70399999999998</v>
      </c>
      <c r="AF59" s="30">
        <f>149.367-7.877</f>
        <v>141.48999999999998</v>
      </c>
      <c r="AG59" s="30">
        <f>149.265-7.877</f>
        <v>141.38799999999998</v>
      </c>
      <c r="AH59" s="30">
        <f>149.114-7.877</f>
        <v>141.23699999999999</v>
      </c>
      <c r="AI59" s="30">
        <f>149.021-7.877</f>
        <v>141.14399999999998</v>
      </c>
      <c r="AJ59" s="108"/>
      <c r="AK59" s="30">
        <f>P59-N59</f>
        <v>-0.81299999999998818</v>
      </c>
      <c r="AL59" s="14">
        <f t="shared" si="67"/>
        <v>-0.41900000000001114</v>
      </c>
      <c r="AM59" s="14">
        <f t="shared" si="68"/>
        <v>-0.77100000000001501</v>
      </c>
      <c r="AN59" s="14">
        <f t="shared" si="69"/>
        <v>-0.74699999999998568</v>
      </c>
      <c r="AO59" s="14">
        <f t="shared" si="70"/>
        <v>-0.46100000000001273</v>
      </c>
      <c r="AP59" s="14">
        <f t="shared" si="52"/>
        <v>-0.59799999999998477</v>
      </c>
      <c r="AQ59" s="14">
        <f t="shared" si="53"/>
        <v>-0.42500000000001137</v>
      </c>
      <c r="AR59" s="14">
        <f t="shared" si="54"/>
        <v>-0.34999999999999432</v>
      </c>
      <c r="AS59" s="30">
        <f t="shared" si="4"/>
        <v>-0.46600000000000819</v>
      </c>
      <c r="AT59" s="14">
        <f t="shared" si="62"/>
        <v>-0.3160000000000025</v>
      </c>
      <c r="AU59" s="111">
        <f t="shared" si="6"/>
        <v>-0.24399999999999977</v>
      </c>
      <c r="AV59" s="108">
        <f t="shared" si="7"/>
        <v>-0.51000000000000123</v>
      </c>
      <c r="AW59" s="95">
        <f t="shared" si="71"/>
        <v>-0.632000000000005</v>
      </c>
      <c r="AX59" s="14">
        <f t="shared" si="72"/>
        <v>-0.77400000000000091</v>
      </c>
      <c r="AY59" s="14">
        <f t="shared" si="73"/>
        <v>-0.59899999999998954</v>
      </c>
      <c r="AZ59" s="14">
        <f t="shared" si="74"/>
        <v>-0.68700000000001182</v>
      </c>
      <c r="BA59" s="14">
        <f t="shared" si="75"/>
        <v>-0.71200000000001751</v>
      </c>
      <c r="BB59" s="14">
        <f t="shared" si="76"/>
        <v>-0.47499999999999432</v>
      </c>
      <c r="BC59" s="14">
        <f t="shared" si="57"/>
        <v>-0.53299999999998704</v>
      </c>
      <c r="BD59" s="14">
        <f t="shared" si="58"/>
        <v>-0.37400000000000944</v>
      </c>
      <c r="BE59" s="14">
        <f t="shared" si="9"/>
        <v>-0.43500000000000227</v>
      </c>
      <c r="BF59" s="14">
        <f t="shared" si="59"/>
        <v>-0.2529999999999859</v>
      </c>
      <c r="BG59" s="14">
        <f t="shared" si="60"/>
        <v>-0.34399999999999409</v>
      </c>
      <c r="BH59" s="14">
        <f t="shared" si="61"/>
        <v>-0.53163636363636479</v>
      </c>
    </row>
    <row r="60" spans="1:60" s="4" customFormat="1" x14ac:dyDescent="0.25">
      <c r="A60" s="131" t="s">
        <v>75</v>
      </c>
      <c r="B60" s="132">
        <v>2248691.818</v>
      </c>
      <c r="C60" s="132">
        <v>6157718.3640000001</v>
      </c>
      <c r="D60" s="132">
        <f>146.65-2.177</f>
        <v>144.47300000000001</v>
      </c>
      <c r="E60" s="19" t="s">
        <v>76</v>
      </c>
      <c r="F60" s="54">
        <v>2012</v>
      </c>
      <c r="G60" s="30">
        <v>150.39500000000001</v>
      </c>
      <c r="H60" s="54">
        <v>2012</v>
      </c>
      <c r="I60" s="30">
        <v>150.631</v>
      </c>
      <c r="J60" s="54">
        <v>2023</v>
      </c>
      <c r="K60" s="149"/>
      <c r="L60" s="30"/>
      <c r="M60" s="30">
        <v>150.631</v>
      </c>
      <c r="N60" s="30">
        <v>150.39500000000001</v>
      </c>
      <c r="O60" s="30">
        <v>149.96600000000001</v>
      </c>
      <c r="P60" s="30">
        <v>149.50399999999999</v>
      </c>
      <c r="Q60" s="30">
        <v>149.11100000000002</v>
      </c>
      <c r="R60" s="30">
        <v>148.96100000000001</v>
      </c>
      <c r="S60" s="128">
        <v>148.43</v>
      </c>
      <c r="T60" s="30">
        <v>148.1</v>
      </c>
      <c r="U60" s="30">
        <v>147.774</v>
      </c>
      <c r="V60" s="14">
        <f>149.585-2.177</f>
        <v>147.40800000000002</v>
      </c>
      <c r="W60" s="30">
        <f>149.287-2.177</f>
        <v>147.11000000000001</v>
      </c>
      <c r="X60" s="30">
        <f>149.22-2.177</f>
        <v>147.04300000000001</v>
      </c>
      <c r="Y60" s="30">
        <f>148.905-2.177</f>
        <v>146.72800000000001</v>
      </c>
      <c r="Z60" s="30">
        <f>148.615-2.177</f>
        <v>146.43800000000002</v>
      </c>
      <c r="AA60" s="30">
        <f>148.38-2.177</f>
        <v>146.203</v>
      </c>
      <c r="AB60" s="30">
        <f>148.274-2.177</f>
        <v>146.09700000000001</v>
      </c>
      <c r="AC60" s="129">
        <v>145.762</v>
      </c>
      <c r="AD60" s="30">
        <f>147.61-2.177</f>
        <v>145.43300000000002</v>
      </c>
      <c r="AE60" s="30">
        <f>147.394-2.177</f>
        <v>145.21700000000001</v>
      </c>
      <c r="AF60" s="30">
        <f>147.038-2.177</f>
        <v>144.86100000000002</v>
      </c>
      <c r="AG60" s="30">
        <f>146.894-2.177</f>
        <v>144.71700000000001</v>
      </c>
      <c r="AH60" s="30">
        <f>146.783-2.177</f>
        <v>144.60599999999999</v>
      </c>
      <c r="AI60" s="30">
        <f>146.772-2.177</f>
        <v>144.595</v>
      </c>
      <c r="AJ60" s="108"/>
      <c r="AK60" s="30">
        <f>(O60-M60)/(12/12)</f>
        <v>-0.66499999999999204</v>
      </c>
      <c r="AL60" s="14">
        <f t="shared" si="67"/>
        <v>-0.54299999999997794</v>
      </c>
      <c r="AM60" s="14">
        <f t="shared" si="68"/>
        <v>-0.86100000000001842</v>
      </c>
      <c r="AN60" s="14">
        <f t="shared" si="69"/>
        <v>-0.69199999999997885</v>
      </c>
      <c r="AO60" s="14">
        <f t="shared" si="70"/>
        <v>-0.36500000000000909</v>
      </c>
      <c r="AP60" s="14">
        <f t="shared" si="52"/>
        <v>-0.60499999999998977</v>
      </c>
      <c r="AQ60" s="14">
        <f t="shared" si="53"/>
        <v>-0.34100000000000819</v>
      </c>
      <c r="AR60" s="14">
        <f t="shared" si="54"/>
        <v>-0.33500000000000796</v>
      </c>
      <c r="AS60" s="30">
        <f t="shared" si="4"/>
        <v>-0.54499999999998749</v>
      </c>
      <c r="AT60" s="14">
        <f t="shared" si="62"/>
        <v>-0.5</v>
      </c>
      <c r="AU60" s="111">
        <f t="shared" si="6"/>
        <v>-0.1220000000000141</v>
      </c>
      <c r="AV60" s="108">
        <f t="shared" si="7"/>
        <v>-0.52727272727272834</v>
      </c>
      <c r="AW60" s="95">
        <f t="shared" si="71"/>
        <v>-0.66499999999999204</v>
      </c>
      <c r="AX60" s="14">
        <f t="shared" si="72"/>
        <v>-0.85499999999998977</v>
      </c>
      <c r="AY60" s="14">
        <f t="shared" si="73"/>
        <v>-0.6810000000000116</v>
      </c>
      <c r="AZ60" s="14">
        <f t="shared" si="74"/>
        <v>-0.65600000000000591</v>
      </c>
      <c r="BA60" s="14">
        <f t="shared" si="75"/>
        <v>-0.66399999999998727</v>
      </c>
      <c r="BB60" s="14">
        <f t="shared" si="76"/>
        <v>-0.382000000000005</v>
      </c>
      <c r="BC60" s="14">
        <f t="shared" si="57"/>
        <v>-0.52500000000000568</v>
      </c>
      <c r="BD60" s="14">
        <f t="shared" si="58"/>
        <v>-0.38499999999999091</v>
      </c>
      <c r="BE60" s="14">
        <f t="shared" si="9"/>
        <v>-0.57200000000000273</v>
      </c>
      <c r="BF60" s="14">
        <f t="shared" si="59"/>
        <v>-0.25500000000002387</v>
      </c>
      <c r="BG60" s="14">
        <f t="shared" si="60"/>
        <v>-0.4135000000000133</v>
      </c>
      <c r="BH60" s="14">
        <f t="shared" si="61"/>
        <v>-0.54772727272727328</v>
      </c>
    </row>
    <row r="61" spans="1:60" s="4" customFormat="1" x14ac:dyDescent="0.25">
      <c r="A61" s="131" t="s">
        <v>77</v>
      </c>
      <c r="B61" s="132">
        <v>2265037.7790000001</v>
      </c>
      <c r="C61" s="132">
        <v>6131551.7000000002</v>
      </c>
      <c r="D61" s="132">
        <f>122.793+0.633</f>
        <v>123.426</v>
      </c>
      <c r="E61" s="19" t="s">
        <v>78</v>
      </c>
      <c r="F61" s="54">
        <v>2012</v>
      </c>
      <c r="G61" s="30">
        <v>128.96</v>
      </c>
      <c r="H61" s="54">
        <v>2012</v>
      </c>
      <c r="I61" s="30">
        <v>129.24100000000001</v>
      </c>
      <c r="J61" s="54">
        <v>2023</v>
      </c>
      <c r="K61" s="149"/>
      <c r="L61" s="30"/>
      <c r="M61" s="30">
        <v>129.24100000000001</v>
      </c>
      <c r="N61" s="30">
        <v>128.96</v>
      </c>
      <c r="O61" s="30">
        <v>128.55099999999999</v>
      </c>
      <c r="P61" s="30">
        <v>128.00700000000001</v>
      </c>
      <c r="Q61" s="30">
        <v>127.70599999999999</v>
      </c>
      <c r="R61" s="30">
        <v>127.53399999999999</v>
      </c>
      <c r="S61" s="128">
        <v>126.92</v>
      </c>
      <c r="T61" s="30">
        <v>126.61399999999999</v>
      </c>
      <c r="U61" s="30">
        <v>126.32799999999999</v>
      </c>
      <c r="V61" s="14">
        <f>125.37+0.633</f>
        <v>126.003</v>
      </c>
      <c r="W61" s="30">
        <f>125.192+0.633</f>
        <v>125.82499999999999</v>
      </c>
      <c r="X61" s="30">
        <f>125.02+0.633</f>
        <v>125.65299999999999</v>
      </c>
      <c r="Y61" s="30">
        <f>124.821+0.633</f>
        <v>125.45399999999999</v>
      </c>
      <c r="Z61" s="30">
        <f>124.678+0.663</f>
        <v>125.34099999999999</v>
      </c>
      <c r="AA61" s="30">
        <f>124.6+0.663</f>
        <v>125.26299999999999</v>
      </c>
      <c r="AB61" s="30">
        <f>124.526+0.663</f>
        <v>125.18899999999999</v>
      </c>
      <c r="AC61" s="129">
        <v>124.62899999999999</v>
      </c>
      <c r="AD61" s="30">
        <f>123.645+0.633</f>
        <v>124.27799999999999</v>
      </c>
      <c r="AE61" s="30">
        <f>123.505+0.633</f>
        <v>124.13799999999999</v>
      </c>
      <c r="AF61" s="30">
        <f>123.097+0.633</f>
        <v>123.72999999999999</v>
      </c>
      <c r="AG61" s="30">
        <f>122.962+0.633</f>
        <v>123.595</v>
      </c>
      <c r="AH61" s="30">
        <f>122.945+0.633</f>
        <v>123.57799999999999</v>
      </c>
      <c r="AI61" s="30">
        <f>122.936+0.633</f>
        <v>123.569</v>
      </c>
      <c r="AJ61" s="108"/>
      <c r="AK61" s="30">
        <f>(O61-M61)/(12/12)</f>
        <v>-0.69000000000002615</v>
      </c>
      <c r="AL61" s="14">
        <f t="shared" si="67"/>
        <v>-0.47300000000001319</v>
      </c>
      <c r="AM61" s="14">
        <f t="shared" si="68"/>
        <v>-0.92000000000000171</v>
      </c>
      <c r="AN61" s="14">
        <f t="shared" si="69"/>
        <v>-0.61099999999999</v>
      </c>
      <c r="AO61" s="14">
        <f t="shared" si="70"/>
        <v>-0.35000000000000853</v>
      </c>
      <c r="AP61" s="14">
        <f t="shared" si="52"/>
        <v>-0.31199999999999761</v>
      </c>
      <c r="AQ61" s="14">
        <f t="shared" si="53"/>
        <v>-0.15200000000000102</v>
      </c>
      <c r="AR61" s="14">
        <f t="shared" si="54"/>
        <v>-0.56000000000000227</v>
      </c>
      <c r="AS61" s="30">
        <f t="shared" si="4"/>
        <v>-0.49099999999999966</v>
      </c>
      <c r="AT61" s="14">
        <f t="shared" si="62"/>
        <v>-0.54299999999999216</v>
      </c>
      <c r="AU61" s="111">
        <f t="shared" si="6"/>
        <v>-2.5999999999996248E-2</v>
      </c>
      <c r="AV61" s="108">
        <f t="shared" si="7"/>
        <v>-0.49009090909090958</v>
      </c>
      <c r="AW61" s="95">
        <f t="shared" si="71"/>
        <v>-0.69000000000002615</v>
      </c>
      <c r="AX61" s="14">
        <f t="shared" si="72"/>
        <v>-0.84499999999999886</v>
      </c>
      <c r="AY61" s="14">
        <f t="shared" si="73"/>
        <v>-0.78599999999998715</v>
      </c>
      <c r="AZ61" s="14">
        <f t="shared" si="74"/>
        <v>-0.59200000000001296</v>
      </c>
      <c r="BA61" s="14">
        <f t="shared" si="75"/>
        <v>-0.50300000000000011</v>
      </c>
      <c r="BB61" s="14">
        <f t="shared" si="76"/>
        <v>-0.37099999999999511</v>
      </c>
      <c r="BC61" s="14">
        <f t="shared" si="57"/>
        <v>-0.1910000000000025</v>
      </c>
      <c r="BD61" s="14">
        <f t="shared" si="58"/>
        <v>-0.49249999999999972</v>
      </c>
      <c r="BE61" s="14">
        <f t="shared" si="9"/>
        <v>-0.54800000000000182</v>
      </c>
      <c r="BF61" s="14">
        <f t="shared" si="59"/>
        <v>-0.15200000000000102</v>
      </c>
      <c r="BG61" s="14">
        <f t="shared" si="60"/>
        <v>-0.35000000000000142</v>
      </c>
      <c r="BH61" s="14">
        <f t="shared" si="61"/>
        <v>-0.51481818181818406</v>
      </c>
    </row>
    <row r="62" spans="1:60" x14ac:dyDescent="0.25">
      <c r="A62" s="65">
        <v>1108</v>
      </c>
      <c r="B62" s="66">
        <v>2361311.929</v>
      </c>
      <c r="C62" s="66">
        <v>6086633.8449999997</v>
      </c>
      <c r="D62" s="66">
        <v>123.381</v>
      </c>
      <c r="E62" s="67" t="s">
        <v>79</v>
      </c>
      <c r="F62" s="68">
        <v>2012</v>
      </c>
      <c r="G62" s="66">
        <v>123.78100000000001</v>
      </c>
      <c r="H62" s="68">
        <v>2012</v>
      </c>
      <c r="I62" s="66">
        <v>123.751</v>
      </c>
      <c r="J62" s="68">
        <v>2023</v>
      </c>
      <c r="K62" s="149"/>
      <c r="L62" s="66"/>
      <c r="M62" s="66">
        <v>123.751</v>
      </c>
      <c r="N62" s="66">
        <v>123.78100000000001</v>
      </c>
      <c r="O62" s="66">
        <v>123.747</v>
      </c>
      <c r="P62" s="66">
        <v>123.568</v>
      </c>
      <c r="Q62" s="66">
        <v>123.779</v>
      </c>
      <c r="R62" s="66">
        <v>123.785</v>
      </c>
      <c r="S62" s="69">
        <v>123.71299999999999</v>
      </c>
      <c r="T62" s="66">
        <v>123.626</v>
      </c>
      <c r="U62" s="69">
        <v>123.611</v>
      </c>
      <c r="V62" s="66">
        <v>123.636</v>
      </c>
      <c r="W62" s="66">
        <v>123.67100000000001</v>
      </c>
      <c r="X62" s="66">
        <v>123.63</v>
      </c>
      <c r="Y62" s="66">
        <v>123.51</v>
      </c>
      <c r="Z62" s="66">
        <v>123.517</v>
      </c>
      <c r="AA62" s="66">
        <v>123.529</v>
      </c>
      <c r="AB62" s="66">
        <v>123.55</v>
      </c>
      <c r="AC62" s="70">
        <v>123.54</v>
      </c>
      <c r="AD62" s="66">
        <v>123.369</v>
      </c>
      <c r="AE62" s="66">
        <v>123.411</v>
      </c>
      <c r="AF62" s="66">
        <v>123.29</v>
      </c>
      <c r="AG62" s="66">
        <v>123.31399999999999</v>
      </c>
      <c r="AH62" s="66">
        <v>123.328</v>
      </c>
      <c r="AI62" s="66">
        <v>123.502</v>
      </c>
      <c r="AJ62" s="71"/>
      <c r="AK62" s="66">
        <f t="shared" ref="AK62:AK74" si="77">P62-N62</f>
        <v>-0.21300000000000807</v>
      </c>
      <c r="AL62" s="72">
        <f t="shared" si="67"/>
        <v>0.21699999999999875</v>
      </c>
      <c r="AM62" s="72">
        <f t="shared" si="68"/>
        <v>-0.15899999999999181</v>
      </c>
      <c r="AN62" s="72">
        <f t="shared" si="69"/>
        <v>9.9999999999909051E-3</v>
      </c>
      <c r="AO62" s="72">
        <f t="shared" si="70"/>
        <v>-6.0000000000002274E-3</v>
      </c>
      <c r="AP62" s="72">
        <f t="shared" si="52"/>
        <v>-0.11299999999999955</v>
      </c>
      <c r="AQ62" s="72">
        <f t="shared" si="53"/>
        <v>3.3000000000001251E-2</v>
      </c>
      <c r="AR62" s="72">
        <f t="shared" si="54"/>
        <v>-9.9999999999909051E-3</v>
      </c>
      <c r="AS62" s="66">
        <f t="shared" si="4"/>
        <v>-0.12900000000000489</v>
      </c>
      <c r="AT62" s="111">
        <f t="shared" si="62"/>
        <v>-9.7000000000008413E-2</v>
      </c>
      <c r="AU62" s="111">
        <f t="shared" si="6"/>
        <v>0.18800000000000239</v>
      </c>
      <c r="AV62" s="108">
        <f t="shared" si="7"/>
        <v>-2.5363636363637324E-2</v>
      </c>
      <c r="AW62" s="73">
        <f t="shared" si="71"/>
        <v>-4.0000000000048885E-3</v>
      </c>
      <c r="AX62" s="72">
        <f t="shared" si="72"/>
        <v>3.1999999999996476E-2</v>
      </c>
      <c r="AY62" s="72">
        <f t="shared" si="73"/>
        <v>-6.6000000000002501E-2</v>
      </c>
      <c r="AZ62" s="72">
        <f t="shared" si="74"/>
        <v>-0.10199999999998965</v>
      </c>
      <c r="BA62" s="72">
        <f t="shared" si="75"/>
        <v>6.0000000000002274E-2</v>
      </c>
      <c r="BB62" s="72">
        <f t="shared" si="76"/>
        <v>-0.16100000000000136</v>
      </c>
      <c r="BC62" s="72">
        <f t="shared" si="57"/>
        <v>1.8999999999991246E-2</v>
      </c>
      <c r="BD62" s="72">
        <f t="shared" si="58"/>
        <v>-7.9999999999998295E-2</v>
      </c>
      <c r="BE62" s="72">
        <f t="shared" si="9"/>
        <v>-7.899999999999352E-2</v>
      </c>
      <c r="BF62" s="72">
        <f t="shared" si="59"/>
        <v>3.7999999999996703E-2</v>
      </c>
      <c r="BG62" s="72">
        <f t="shared" si="60"/>
        <v>-2.0499999999998408E-2</v>
      </c>
      <c r="BH62" s="72">
        <f t="shared" si="61"/>
        <v>-3.8454545454545623E-2</v>
      </c>
    </row>
    <row r="63" spans="1:60" x14ac:dyDescent="0.25">
      <c r="A63" s="65">
        <v>2062</v>
      </c>
      <c r="B63" s="66">
        <v>2239271.449</v>
      </c>
      <c r="C63" s="65">
        <v>6146221.4179999996</v>
      </c>
      <c r="D63" s="66">
        <v>137.65</v>
      </c>
      <c r="E63" s="67" t="s">
        <v>80</v>
      </c>
      <c r="F63" s="68">
        <v>2012</v>
      </c>
      <c r="G63" s="66">
        <v>141.346</v>
      </c>
      <c r="H63" s="68">
        <v>2012</v>
      </c>
      <c r="I63" s="66">
        <v>141.374</v>
      </c>
      <c r="J63" s="68">
        <v>2023</v>
      </c>
      <c r="K63" s="149"/>
      <c r="L63" s="66"/>
      <c r="M63" s="66">
        <v>141.374</v>
      </c>
      <c r="N63" s="66">
        <v>141.346</v>
      </c>
      <c r="O63" s="66">
        <v>141.18899999999999</v>
      </c>
      <c r="P63" s="66">
        <v>140.86199999999999</v>
      </c>
      <c r="Q63" s="66">
        <v>140.679</v>
      </c>
      <c r="R63" s="66">
        <v>140.68299999999999</v>
      </c>
      <c r="S63" s="69">
        <v>140.42500000000001</v>
      </c>
      <c r="T63" s="66">
        <v>140.178</v>
      </c>
      <c r="U63" s="66">
        <v>139.97399999999999</v>
      </c>
      <c r="V63" s="66">
        <v>139.69</v>
      </c>
      <c r="W63" s="66">
        <v>139.55199999999999</v>
      </c>
      <c r="X63" s="66">
        <v>139.47999999999999</v>
      </c>
      <c r="Y63" s="66">
        <v>139.328</v>
      </c>
      <c r="Z63" s="74"/>
      <c r="AA63" s="66">
        <v>139.08199999999999</v>
      </c>
      <c r="AB63" s="66">
        <v>138.86699999999999</v>
      </c>
      <c r="AC63" s="70"/>
      <c r="AD63" s="66">
        <v>139</v>
      </c>
      <c r="AE63" s="66">
        <v>138.215</v>
      </c>
      <c r="AF63" s="66"/>
      <c r="AG63" s="66">
        <v>137.881</v>
      </c>
      <c r="AH63" s="66">
        <v>137.76499999999999</v>
      </c>
      <c r="AI63" s="66">
        <v>137.75399999999999</v>
      </c>
      <c r="AJ63" s="71"/>
      <c r="AK63" s="66">
        <f t="shared" si="77"/>
        <v>-0.48400000000000887</v>
      </c>
      <c r="AL63" s="72">
        <f t="shared" si="67"/>
        <v>-0.17900000000000205</v>
      </c>
      <c r="AM63" s="72">
        <f t="shared" si="68"/>
        <v>-0.50499999999999545</v>
      </c>
      <c r="AN63" s="72">
        <f t="shared" si="69"/>
        <v>-0.48799999999999955</v>
      </c>
      <c r="AO63" s="72">
        <f t="shared" si="70"/>
        <v>-0.21000000000000796</v>
      </c>
      <c r="AP63" s="72"/>
      <c r="AQ63" s="72"/>
      <c r="AR63" s="72"/>
      <c r="AS63" s="72"/>
      <c r="AT63" s="111">
        <f t="shared" si="62"/>
        <v>-0.33400000000000318</v>
      </c>
      <c r="AU63" s="111">
        <f t="shared" si="6"/>
        <v>-0.12700000000000955</v>
      </c>
      <c r="AV63" s="108">
        <f t="shared" si="7"/>
        <v>-0.32654545454545575</v>
      </c>
      <c r="AW63" s="73">
        <f t="shared" si="71"/>
        <v>-0.18500000000000227</v>
      </c>
      <c r="AX63" s="72">
        <f t="shared" si="72"/>
        <v>-0.50999999999999091</v>
      </c>
      <c r="AY63" s="72">
        <f t="shared" si="73"/>
        <v>-0.25399999999999068</v>
      </c>
      <c r="AZ63" s="72">
        <f t="shared" si="74"/>
        <v>-0.45100000000002183</v>
      </c>
      <c r="BA63" s="72">
        <f t="shared" si="75"/>
        <v>-0.42199999999999704</v>
      </c>
      <c r="BB63" s="72">
        <f t="shared" si="76"/>
        <v>-0.22399999999998954</v>
      </c>
      <c r="BC63" s="72">
        <f t="shared" si="57"/>
        <v>-0.24600000000000932</v>
      </c>
      <c r="BD63" s="72">
        <f t="shared" si="58"/>
        <v>-4.0999999999996817E-2</v>
      </c>
      <c r="BE63" s="72"/>
      <c r="BF63" s="72"/>
      <c r="BG63" s="72">
        <f t="shared" si="60"/>
        <v>-0.61750000000000682</v>
      </c>
      <c r="BH63" s="72"/>
    </row>
    <row r="64" spans="1:60" x14ac:dyDescent="0.25">
      <c r="A64" s="65">
        <v>2065</v>
      </c>
      <c r="B64" s="66">
        <v>2322679.4190000002</v>
      </c>
      <c r="C64" s="66">
        <v>6128257.4220000003</v>
      </c>
      <c r="D64" s="66">
        <v>142.898</v>
      </c>
      <c r="E64" s="67" t="s">
        <v>81</v>
      </c>
      <c r="F64" s="68">
        <v>2012</v>
      </c>
      <c r="G64" s="66">
        <v>146.024</v>
      </c>
      <c r="H64" s="68">
        <v>2012</v>
      </c>
      <c r="I64" s="66">
        <v>146.01599999999999</v>
      </c>
      <c r="J64" s="68">
        <v>2023</v>
      </c>
      <c r="K64" s="149"/>
      <c r="L64" s="66"/>
      <c r="M64" s="66">
        <v>146.01599999999999</v>
      </c>
      <c r="N64" s="66">
        <v>146.024</v>
      </c>
      <c r="O64" s="66">
        <v>145.74600000000001</v>
      </c>
      <c r="P64" s="66">
        <v>145.44399999999999</v>
      </c>
      <c r="Q64" s="66">
        <v>145.39699999999999</v>
      </c>
      <c r="R64" s="66">
        <v>145.36099999999999</v>
      </c>
      <c r="S64" s="69">
        <v>144.94800000000001</v>
      </c>
      <c r="T64" s="66">
        <v>144.82400000000001</v>
      </c>
      <c r="U64" s="69">
        <v>144.71</v>
      </c>
      <c r="V64" s="66">
        <v>144.61699999999999</v>
      </c>
      <c r="W64" s="66">
        <v>144.495</v>
      </c>
      <c r="X64" s="66">
        <v>144.47999999999999</v>
      </c>
      <c r="Y64" s="66">
        <v>144.25200000000001</v>
      </c>
      <c r="Z64" s="66">
        <v>144.233</v>
      </c>
      <c r="AA64" s="66">
        <v>144.09200000000001</v>
      </c>
      <c r="AB64" s="66">
        <v>144.07300000000001</v>
      </c>
      <c r="AC64" s="70">
        <v>143.87200000000001</v>
      </c>
      <c r="AD64" s="66">
        <v>143.59</v>
      </c>
      <c r="AE64" s="66">
        <v>143.47399999999999</v>
      </c>
      <c r="AF64" s="66">
        <v>143.08500000000001</v>
      </c>
      <c r="AG64" s="66">
        <v>143.03</v>
      </c>
      <c r="AH64" s="66">
        <v>143.00299999999999</v>
      </c>
      <c r="AI64" s="66">
        <v>143.02199999999999</v>
      </c>
      <c r="AJ64" s="71"/>
      <c r="AK64" s="66">
        <f t="shared" si="77"/>
        <v>-0.58000000000001251</v>
      </c>
      <c r="AL64" s="72">
        <f t="shared" si="67"/>
        <v>-8.2999999999998408E-2</v>
      </c>
      <c r="AM64" s="72">
        <f t="shared" si="68"/>
        <v>-0.53699999999997772</v>
      </c>
      <c r="AN64" s="72">
        <f t="shared" si="69"/>
        <v>-0.20700000000002206</v>
      </c>
      <c r="AO64" s="72">
        <f t="shared" si="70"/>
        <v>-0.13700000000000045</v>
      </c>
      <c r="AP64" s="72">
        <f t="shared" ref="AP64:AP83" si="78">Z64-X64</f>
        <v>-0.24699999999998568</v>
      </c>
      <c r="AQ64" s="72">
        <f t="shared" ref="AQ64:AQ73" si="79">AB64-Z64</f>
        <v>-0.15999999999999659</v>
      </c>
      <c r="AR64" s="72">
        <f t="shared" ref="AR64:AR73" si="80">AC64-AB64</f>
        <v>-0.20099999999999341</v>
      </c>
      <c r="AS64" s="66">
        <f t="shared" si="4"/>
        <v>-0.39800000000002456</v>
      </c>
      <c r="AT64" s="111">
        <f t="shared" si="62"/>
        <v>-0.4439999999999884</v>
      </c>
      <c r="AU64" s="111">
        <f t="shared" si="6"/>
        <v>-8.0000000000097771E-3</v>
      </c>
      <c r="AV64" s="108">
        <f t="shared" si="7"/>
        <v>-0.27290909090909177</v>
      </c>
      <c r="AW64" s="73">
        <f t="shared" si="71"/>
        <v>-0.26999999999998181</v>
      </c>
      <c r="AX64" s="72">
        <f t="shared" si="72"/>
        <v>-0.34900000000001796</v>
      </c>
      <c r="AY64" s="72">
        <f t="shared" si="73"/>
        <v>-0.44899999999998386</v>
      </c>
      <c r="AZ64" s="72">
        <f t="shared" si="74"/>
        <v>-0.23799999999999955</v>
      </c>
      <c r="BA64" s="72">
        <f t="shared" si="75"/>
        <v>-0.21500000000000341</v>
      </c>
      <c r="BB64" s="72">
        <f t="shared" si="76"/>
        <v>-0.242999999999995</v>
      </c>
      <c r="BC64" s="72">
        <f t="shared" si="57"/>
        <v>-0.15999999999999659</v>
      </c>
      <c r="BD64" s="72">
        <f t="shared" si="58"/>
        <v>-0.25100000000000477</v>
      </c>
      <c r="BE64" s="72">
        <f t="shared" si="9"/>
        <v>-0.50499999999999545</v>
      </c>
      <c r="BF64" s="72">
        <f t="shared" si="59"/>
        <v>-8.2000000000022055E-2</v>
      </c>
      <c r="BG64" s="72">
        <f t="shared" si="60"/>
        <v>-0.29350000000000875</v>
      </c>
      <c r="BH64" s="72">
        <f t="shared" ref="BH64:BH83" si="81">(AH64-$I64)/(2023-$H64)</f>
        <v>-0.27390909090909138</v>
      </c>
    </row>
    <row r="65" spans="1:60" x14ac:dyDescent="0.25">
      <c r="A65" s="65">
        <v>2076</v>
      </c>
      <c r="B65" s="66">
        <v>2280427.7209999999</v>
      </c>
      <c r="C65" s="66">
        <v>6163347.875</v>
      </c>
      <c r="D65" s="66">
        <v>176.58799999999999</v>
      </c>
      <c r="E65" s="67" t="s">
        <v>82</v>
      </c>
      <c r="F65" s="68">
        <v>2012</v>
      </c>
      <c r="G65" s="66">
        <v>180.85499999999999</v>
      </c>
      <c r="H65" s="68">
        <v>2012</v>
      </c>
      <c r="I65" s="66">
        <v>180.94900000000001</v>
      </c>
      <c r="J65" s="68">
        <v>2023</v>
      </c>
      <c r="K65" s="149"/>
      <c r="L65" s="66"/>
      <c r="M65" s="66">
        <v>180.94900000000001</v>
      </c>
      <c r="N65" s="66">
        <v>180.85499999999999</v>
      </c>
      <c r="O65" s="66">
        <v>180.67400000000001</v>
      </c>
      <c r="P65" s="66">
        <v>180.34399999999999</v>
      </c>
      <c r="Q65" s="66">
        <v>180.22399999999999</v>
      </c>
      <c r="R65" s="66">
        <v>180.119</v>
      </c>
      <c r="S65" s="69">
        <v>179.67599999999999</v>
      </c>
      <c r="T65" s="66">
        <v>179.36</v>
      </c>
      <c r="U65" s="66">
        <v>179.251</v>
      </c>
      <c r="V65" s="66">
        <v>178.92400000000001</v>
      </c>
      <c r="W65" s="66">
        <v>178.732</v>
      </c>
      <c r="X65" s="66">
        <v>178.66</v>
      </c>
      <c r="Y65" s="66">
        <v>178.506</v>
      </c>
      <c r="Z65" s="66">
        <v>178.26300000000001</v>
      </c>
      <c r="AA65" s="66">
        <v>178.17</v>
      </c>
      <c r="AB65" s="66">
        <v>178.03800000000001</v>
      </c>
      <c r="AC65" s="70">
        <v>177.81399999999999</v>
      </c>
      <c r="AD65" s="66">
        <v>177.58699999999999</v>
      </c>
      <c r="AE65" s="66">
        <v>177.30600000000001</v>
      </c>
      <c r="AF65" s="66">
        <v>177.024</v>
      </c>
      <c r="AG65" s="66">
        <v>176.803</v>
      </c>
      <c r="AH65" s="66">
        <v>176.714</v>
      </c>
      <c r="AI65" s="66">
        <v>176.71299999999999</v>
      </c>
      <c r="AJ65" s="71"/>
      <c r="AK65" s="66">
        <f t="shared" si="77"/>
        <v>-0.51099999999999568</v>
      </c>
      <c r="AL65" s="72">
        <f t="shared" si="67"/>
        <v>-0.22499999999999432</v>
      </c>
      <c r="AM65" s="72">
        <f t="shared" si="68"/>
        <v>-0.75899999999998613</v>
      </c>
      <c r="AN65" s="72">
        <f t="shared" si="69"/>
        <v>-0.43600000000000705</v>
      </c>
      <c r="AO65" s="72">
        <f t="shared" si="70"/>
        <v>-0.26400000000001</v>
      </c>
      <c r="AP65" s="72">
        <f t="shared" si="78"/>
        <v>-0.39699999999999136</v>
      </c>
      <c r="AQ65" s="72">
        <f t="shared" si="79"/>
        <v>-0.22499999999999432</v>
      </c>
      <c r="AR65" s="72">
        <f t="shared" si="80"/>
        <v>-0.22400000000001796</v>
      </c>
      <c r="AS65" s="66">
        <f t="shared" si="4"/>
        <v>-0.50799999999998136</v>
      </c>
      <c r="AT65" s="111">
        <f t="shared" si="62"/>
        <v>-0.50300000000001432</v>
      </c>
      <c r="AU65" s="111">
        <f t="shared" si="6"/>
        <v>-9.0000000000003411E-2</v>
      </c>
      <c r="AV65" s="108">
        <f t="shared" si="7"/>
        <v>-0.37654545454545418</v>
      </c>
      <c r="AW65" s="73">
        <f t="shared" si="71"/>
        <v>-0.27500000000000568</v>
      </c>
      <c r="AX65" s="72">
        <f t="shared" si="72"/>
        <v>-0.45000000000001705</v>
      </c>
      <c r="AY65" s="72">
        <f t="shared" si="73"/>
        <v>-0.54800000000000182</v>
      </c>
      <c r="AZ65" s="72">
        <f t="shared" si="74"/>
        <v>-0.42499999999998295</v>
      </c>
      <c r="BA65" s="72">
        <f t="shared" si="75"/>
        <v>-0.51900000000000546</v>
      </c>
      <c r="BB65" s="72">
        <f t="shared" si="76"/>
        <v>-0.22599999999999909</v>
      </c>
      <c r="BC65" s="72">
        <f t="shared" si="57"/>
        <v>-0.33600000000001273</v>
      </c>
      <c r="BD65" s="72">
        <f t="shared" si="58"/>
        <v>-0.2914999999999992</v>
      </c>
      <c r="BE65" s="72">
        <f t="shared" si="9"/>
        <v>-0.56299999999998818</v>
      </c>
      <c r="BF65" s="72">
        <f t="shared" si="59"/>
        <v>-0.31000000000000227</v>
      </c>
      <c r="BG65" s="72">
        <f t="shared" si="60"/>
        <v>-0.43649999999999523</v>
      </c>
      <c r="BH65" s="72">
        <f t="shared" si="81"/>
        <v>-0.38500000000000123</v>
      </c>
    </row>
    <row r="66" spans="1:60" x14ac:dyDescent="0.25">
      <c r="A66" s="65">
        <v>2107</v>
      </c>
      <c r="B66" s="66">
        <v>2099695.6660000002</v>
      </c>
      <c r="C66" s="66">
        <v>6220352.7450000001</v>
      </c>
      <c r="D66" s="66">
        <v>174.13300000000001</v>
      </c>
      <c r="E66" s="67" t="s">
        <v>83</v>
      </c>
      <c r="F66" s="68">
        <v>2012</v>
      </c>
      <c r="G66" s="66">
        <v>176.19399999999999</v>
      </c>
      <c r="H66" s="68">
        <v>2012</v>
      </c>
      <c r="I66" s="66">
        <v>176.244</v>
      </c>
      <c r="J66" s="68">
        <v>2023</v>
      </c>
      <c r="K66" s="149"/>
      <c r="L66" s="66"/>
      <c r="M66" s="66">
        <v>176.244</v>
      </c>
      <c r="N66" s="66">
        <v>176.19399999999999</v>
      </c>
      <c r="O66" s="66">
        <v>176.119</v>
      </c>
      <c r="P66" s="66">
        <v>175.773</v>
      </c>
      <c r="Q66" s="66">
        <v>175.53700000000001</v>
      </c>
      <c r="R66" s="66">
        <v>175.65299999999999</v>
      </c>
      <c r="S66" s="69">
        <v>175.44900000000001</v>
      </c>
      <c r="T66" s="66">
        <v>175.25200000000001</v>
      </c>
      <c r="U66" s="69">
        <v>175.13499999999999</v>
      </c>
      <c r="V66" s="66">
        <v>174.94900000000001</v>
      </c>
      <c r="W66" s="66">
        <v>175.048</v>
      </c>
      <c r="X66" s="66">
        <v>174.99</v>
      </c>
      <c r="Y66" s="66">
        <v>175.023</v>
      </c>
      <c r="Z66" s="66">
        <v>174.91300000000001</v>
      </c>
      <c r="AA66" s="66">
        <v>174.95699999999999</v>
      </c>
      <c r="AB66" s="66">
        <v>174.80699999999999</v>
      </c>
      <c r="AC66" s="70">
        <v>174.59100000000001</v>
      </c>
      <c r="AD66" s="66">
        <v>174.61699999999999</v>
      </c>
      <c r="AE66" s="66">
        <v>174.34299999999999</v>
      </c>
      <c r="AF66" s="66">
        <v>174.179</v>
      </c>
      <c r="AG66" s="66">
        <v>174.07599999999999</v>
      </c>
      <c r="AH66" s="66">
        <v>174.191</v>
      </c>
      <c r="AI66" s="66">
        <v>174.279</v>
      </c>
      <c r="AJ66" s="71"/>
      <c r="AK66" s="66">
        <f t="shared" si="77"/>
        <v>-0.42099999999999227</v>
      </c>
      <c r="AL66" s="72">
        <f t="shared" si="67"/>
        <v>-0.12000000000000455</v>
      </c>
      <c r="AM66" s="72">
        <f t="shared" si="68"/>
        <v>-0.40099999999998204</v>
      </c>
      <c r="AN66" s="72">
        <f t="shared" si="69"/>
        <v>-0.30299999999999727</v>
      </c>
      <c r="AO66" s="72">
        <f t="shared" si="70"/>
        <v>4.0999999999996817E-2</v>
      </c>
      <c r="AP66" s="72">
        <f t="shared" si="78"/>
        <v>-7.6999999999998181E-2</v>
      </c>
      <c r="AQ66" s="72">
        <f t="shared" si="79"/>
        <v>-0.10600000000002296</v>
      </c>
      <c r="AR66" s="72">
        <f t="shared" si="80"/>
        <v>-0.21599999999997976</v>
      </c>
      <c r="AS66" s="66">
        <f t="shared" si="4"/>
        <v>-0.24800000000001887</v>
      </c>
      <c r="AT66" s="111">
        <f t="shared" si="62"/>
        <v>-0.26699999999999591</v>
      </c>
      <c r="AU66" s="111">
        <f t="shared" si="6"/>
        <v>0.20300000000000296</v>
      </c>
      <c r="AV66" s="108">
        <f t="shared" si="7"/>
        <v>-0.17409090909090838</v>
      </c>
      <c r="AW66" s="73">
        <f t="shared" si="71"/>
        <v>-0.125</v>
      </c>
      <c r="AX66" s="72">
        <f t="shared" si="72"/>
        <v>-0.58199999999999363</v>
      </c>
      <c r="AY66" s="72">
        <f t="shared" si="73"/>
        <v>-8.7999999999993861E-2</v>
      </c>
      <c r="AZ66" s="72">
        <f t="shared" si="74"/>
        <v>-0.31400000000002137</v>
      </c>
      <c r="BA66" s="72">
        <f t="shared" si="75"/>
        <v>-8.6999999999989086E-2</v>
      </c>
      <c r="BB66" s="72">
        <f t="shared" si="76"/>
        <v>-2.5000000000005684E-2</v>
      </c>
      <c r="BC66" s="72">
        <f t="shared" ref="BC66:BC83" si="82">AA66-Y66</f>
        <v>-6.6000000000002501E-2</v>
      </c>
      <c r="BD66" s="72">
        <f t="shared" si="58"/>
        <v>-0.17000000000000171</v>
      </c>
      <c r="BE66" s="72">
        <f t="shared" si="9"/>
        <v>-0.43799999999998818</v>
      </c>
      <c r="BF66" s="72">
        <f t="shared" si="59"/>
        <v>1.2000000000000455E-2</v>
      </c>
      <c r="BG66" s="72">
        <f t="shared" si="60"/>
        <v>-0.21299999999999386</v>
      </c>
      <c r="BH66" s="72">
        <f t="shared" si="81"/>
        <v>-0.18663636363636338</v>
      </c>
    </row>
    <row r="67" spans="1:60" x14ac:dyDescent="0.25">
      <c r="A67" s="65">
        <v>2147</v>
      </c>
      <c r="B67" s="66">
        <v>2062741.4909999999</v>
      </c>
      <c r="C67" s="66">
        <v>6223016.0039999997</v>
      </c>
      <c r="D67" s="66">
        <v>194.15600000000001</v>
      </c>
      <c r="E67" s="67" t="s">
        <v>84</v>
      </c>
      <c r="F67" s="68">
        <v>2012</v>
      </c>
      <c r="G67" s="66">
        <v>196.71700000000001</v>
      </c>
      <c r="H67" s="68">
        <v>2012</v>
      </c>
      <c r="I67" s="66">
        <v>196.79599999999999</v>
      </c>
      <c r="J67" s="68">
        <v>2023</v>
      </c>
      <c r="K67" s="149"/>
      <c r="L67" s="66"/>
      <c r="M67" s="66">
        <v>196.79599999999999</v>
      </c>
      <c r="N67" s="66">
        <v>196.71700000000001</v>
      </c>
      <c r="O67" s="66">
        <v>196.62899999999999</v>
      </c>
      <c r="P67" s="66">
        <v>196.21700000000001</v>
      </c>
      <c r="Q67" s="66">
        <v>195.95699999999999</v>
      </c>
      <c r="R67" s="66">
        <v>195.95599999999999</v>
      </c>
      <c r="S67" s="69">
        <v>195.655</v>
      </c>
      <c r="T67" s="66">
        <v>195.43700000000001</v>
      </c>
      <c r="U67" s="66">
        <v>195.34299999999999</v>
      </c>
      <c r="V67" s="66">
        <v>195.07400000000001</v>
      </c>
      <c r="W67" s="66">
        <v>195.24100000000001</v>
      </c>
      <c r="X67" s="66">
        <v>195.2</v>
      </c>
      <c r="Y67" s="66">
        <v>195.26300000000001</v>
      </c>
      <c r="Z67" s="66">
        <v>195.16499999999999</v>
      </c>
      <c r="AA67" s="66">
        <v>195.203</v>
      </c>
      <c r="AB67" s="66">
        <v>195.084</v>
      </c>
      <c r="AC67" s="70">
        <v>194.82400000000001</v>
      </c>
      <c r="AD67" s="66">
        <v>194.809</v>
      </c>
      <c r="AE67" s="66">
        <v>194.441</v>
      </c>
      <c r="AF67" s="66">
        <v>194.15299999999999</v>
      </c>
      <c r="AG67" s="66">
        <v>194.08</v>
      </c>
      <c r="AH67" s="66">
        <v>194.19499999999999</v>
      </c>
      <c r="AI67" s="66">
        <v>194.249</v>
      </c>
      <c r="AJ67" s="71"/>
      <c r="AK67" s="66">
        <f t="shared" si="77"/>
        <v>-0.5</v>
      </c>
      <c r="AL67" s="72">
        <f t="shared" si="67"/>
        <v>-0.2610000000000241</v>
      </c>
      <c r="AM67" s="72">
        <f t="shared" si="68"/>
        <v>-0.51899999999997704</v>
      </c>
      <c r="AN67" s="72">
        <f t="shared" si="69"/>
        <v>-0.36299999999999955</v>
      </c>
      <c r="AO67" s="72">
        <f t="shared" si="70"/>
        <v>0.12599999999997635</v>
      </c>
      <c r="AP67" s="72">
        <f t="shared" si="78"/>
        <v>-3.4999999999996589E-2</v>
      </c>
      <c r="AQ67" s="72">
        <f t="shared" si="79"/>
        <v>-8.0999999999988859E-2</v>
      </c>
      <c r="AR67" s="72">
        <f t="shared" si="80"/>
        <v>-0.25999999999999091</v>
      </c>
      <c r="AS67" s="66">
        <f t="shared" si="4"/>
        <v>-0.38300000000000978</v>
      </c>
      <c r="AT67" s="111">
        <f t="shared" si="62"/>
        <v>-0.36099999999999</v>
      </c>
      <c r="AU67" s="111">
        <f t="shared" si="6"/>
        <v>0.16899999999998272</v>
      </c>
      <c r="AV67" s="108">
        <f t="shared" si="7"/>
        <v>-0.22436363636363799</v>
      </c>
      <c r="AW67" s="73">
        <f t="shared" si="71"/>
        <v>-0.16700000000000159</v>
      </c>
      <c r="AX67" s="72">
        <f t="shared" si="72"/>
        <v>-0.67199999999999704</v>
      </c>
      <c r="AY67" s="72">
        <f t="shared" si="73"/>
        <v>-0.3019999999999925</v>
      </c>
      <c r="AZ67" s="72">
        <f t="shared" si="74"/>
        <v>-0.31200000000001182</v>
      </c>
      <c r="BA67" s="72">
        <f t="shared" si="75"/>
        <v>-0.10199999999997544</v>
      </c>
      <c r="BB67" s="72">
        <f t="shared" si="76"/>
        <v>2.199999999999136E-2</v>
      </c>
      <c r="BC67" s="72">
        <f t="shared" si="82"/>
        <v>-6.0000000000002274E-2</v>
      </c>
      <c r="BD67" s="72">
        <f t="shared" si="58"/>
        <v>-0.19700000000000273</v>
      </c>
      <c r="BE67" s="72">
        <f t="shared" si="9"/>
        <v>-0.65600000000000591</v>
      </c>
      <c r="BF67" s="72">
        <f t="shared" si="59"/>
        <v>4.2000000000001592E-2</v>
      </c>
      <c r="BG67" s="72">
        <f t="shared" si="60"/>
        <v>-0.30700000000000216</v>
      </c>
      <c r="BH67" s="72">
        <f t="shared" si="81"/>
        <v>-0.23645454545454536</v>
      </c>
    </row>
    <row r="68" spans="1:60" x14ac:dyDescent="0.25">
      <c r="A68" s="65">
        <v>2149</v>
      </c>
      <c r="B68" s="66">
        <v>2115864.8130000001</v>
      </c>
      <c r="C68" s="66">
        <v>6175004.4330000002</v>
      </c>
      <c r="D68" s="66">
        <v>163.66399999999999</v>
      </c>
      <c r="E68" s="67" t="s">
        <v>85</v>
      </c>
      <c r="F68" s="68">
        <v>2012</v>
      </c>
      <c r="G68" s="66">
        <v>165.95699999999999</v>
      </c>
      <c r="H68" s="68">
        <v>2012</v>
      </c>
      <c r="I68" s="66">
        <v>166.011</v>
      </c>
      <c r="J68" s="68">
        <v>2023</v>
      </c>
      <c r="K68" s="149"/>
      <c r="L68" s="66"/>
      <c r="M68" s="66">
        <v>166.011</v>
      </c>
      <c r="N68" s="66">
        <v>165.95699999999999</v>
      </c>
      <c r="O68" s="66">
        <v>165.93</v>
      </c>
      <c r="P68" s="66">
        <v>165.58799999999999</v>
      </c>
      <c r="Q68" s="66">
        <v>165.482</v>
      </c>
      <c r="R68" s="66">
        <v>165.506</v>
      </c>
      <c r="S68" s="69">
        <v>165.334</v>
      </c>
      <c r="T68" s="66">
        <v>165.02</v>
      </c>
      <c r="U68" s="69">
        <v>165</v>
      </c>
      <c r="V68" s="66">
        <v>164.65899999999999</v>
      </c>
      <c r="W68" s="66">
        <v>164.74</v>
      </c>
      <c r="X68" s="66">
        <v>164.68</v>
      </c>
      <c r="Y68" s="66">
        <v>164.87700000000001</v>
      </c>
      <c r="Z68" s="66">
        <v>164.62</v>
      </c>
      <c r="AA68" s="66">
        <v>164.67699999999999</v>
      </c>
      <c r="AB68" s="66">
        <v>164.57</v>
      </c>
      <c r="AC68" s="70">
        <v>164.35900000000001</v>
      </c>
      <c r="AD68" s="66">
        <v>164.333</v>
      </c>
      <c r="AE68" s="66">
        <v>164.03</v>
      </c>
      <c r="AF68" s="66">
        <v>163.87700000000001</v>
      </c>
      <c r="AG68" s="66">
        <v>163.53299999999999</v>
      </c>
      <c r="AH68" s="66">
        <v>163.79300000000001</v>
      </c>
      <c r="AI68" s="66">
        <v>163.714</v>
      </c>
      <c r="AJ68" s="71"/>
      <c r="AK68" s="66">
        <f t="shared" si="77"/>
        <v>-0.36899999999999977</v>
      </c>
      <c r="AL68" s="72">
        <f t="shared" si="67"/>
        <v>-8.1999999999993634E-2</v>
      </c>
      <c r="AM68" s="72">
        <f t="shared" si="68"/>
        <v>-0.48599999999999</v>
      </c>
      <c r="AN68" s="72">
        <f t="shared" si="69"/>
        <v>-0.36100000000001842</v>
      </c>
      <c r="AO68" s="72">
        <f t="shared" si="70"/>
        <v>2.1000000000015007E-2</v>
      </c>
      <c r="AP68" s="72">
        <f t="shared" si="78"/>
        <v>-6.0000000000002274E-2</v>
      </c>
      <c r="AQ68" s="72">
        <f t="shared" si="79"/>
        <v>-5.0000000000011369E-2</v>
      </c>
      <c r="AR68" s="72">
        <f t="shared" si="80"/>
        <v>-0.21099999999998431</v>
      </c>
      <c r="AS68" s="66">
        <f t="shared" si="4"/>
        <v>-0.32900000000000773</v>
      </c>
      <c r="AT68" s="111">
        <f t="shared" si="62"/>
        <v>-0.4970000000000141</v>
      </c>
      <c r="AU68" s="111">
        <f t="shared" si="6"/>
        <v>0.1810000000000116</v>
      </c>
      <c r="AV68" s="108">
        <f t="shared" si="7"/>
        <v>-0.20390909090909046</v>
      </c>
      <c r="AW68" s="73">
        <f t="shared" si="71"/>
        <v>-8.0999999999988859E-2</v>
      </c>
      <c r="AX68" s="72">
        <f t="shared" si="72"/>
        <v>-0.4480000000000075</v>
      </c>
      <c r="AY68" s="72">
        <f t="shared" si="73"/>
        <v>-0.14799999999999613</v>
      </c>
      <c r="AZ68" s="72">
        <f t="shared" si="74"/>
        <v>-0.33400000000000318</v>
      </c>
      <c r="BA68" s="72">
        <f t="shared" si="75"/>
        <v>-0.25999999999999091</v>
      </c>
      <c r="BB68" s="72">
        <f t="shared" si="76"/>
        <v>0.13700000000000045</v>
      </c>
      <c r="BC68" s="72">
        <f t="shared" si="82"/>
        <v>-0.20000000000001705</v>
      </c>
      <c r="BD68" s="72">
        <f t="shared" si="58"/>
        <v>-0.17199999999999704</v>
      </c>
      <c r="BE68" s="72">
        <f t="shared" si="9"/>
        <v>-0.45599999999998886</v>
      </c>
      <c r="BF68" s="72">
        <f t="shared" si="59"/>
        <v>-8.4000000000003183E-2</v>
      </c>
      <c r="BG68" s="72">
        <f t="shared" si="60"/>
        <v>-0.26999999999999602</v>
      </c>
      <c r="BH68" s="72">
        <f t="shared" si="81"/>
        <v>-0.20163636363636267</v>
      </c>
    </row>
    <row r="69" spans="1:60" x14ac:dyDescent="0.25">
      <c r="A69" s="65">
        <v>2160</v>
      </c>
      <c r="B69" s="66">
        <v>2078118.2320000001</v>
      </c>
      <c r="C69" s="66">
        <v>6305388.2800000003</v>
      </c>
      <c r="D69" s="66">
        <v>231.94</v>
      </c>
      <c r="E69" s="67" t="s">
        <v>86</v>
      </c>
      <c r="F69" s="68">
        <v>2012</v>
      </c>
      <c r="G69" s="66">
        <v>233.017</v>
      </c>
      <c r="H69" s="68">
        <v>2012</v>
      </c>
      <c r="I69" s="66">
        <v>233.19</v>
      </c>
      <c r="J69" s="68">
        <v>2023</v>
      </c>
      <c r="K69" s="149"/>
      <c r="L69" s="66"/>
      <c r="M69" s="66">
        <v>233.19</v>
      </c>
      <c r="N69" s="66">
        <v>233.017</v>
      </c>
      <c r="O69" s="66">
        <v>232.982</v>
      </c>
      <c r="P69" s="66">
        <v>232.66900000000001</v>
      </c>
      <c r="Q69" s="66">
        <v>232.74</v>
      </c>
      <c r="R69" s="66">
        <v>232.733</v>
      </c>
      <c r="S69" s="69">
        <v>232.73400000000001</v>
      </c>
      <c r="T69" s="66">
        <v>232.624</v>
      </c>
      <c r="U69" s="66">
        <v>232.59100000000001</v>
      </c>
      <c r="V69" s="66">
        <v>232.49100000000001</v>
      </c>
      <c r="W69" s="66">
        <v>232.45699999999999</v>
      </c>
      <c r="X69" s="66">
        <v>232.41</v>
      </c>
      <c r="Y69" s="66">
        <v>232.726</v>
      </c>
      <c r="Z69" s="66">
        <v>232.33099999999999</v>
      </c>
      <c r="AA69" s="66">
        <v>232.523</v>
      </c>
      <c r="AB69" s="66">
        <v>232.267</v>
      </c>
      <c r="AC69" s="70">
        <v>232.209</v>
      </c>
      <c r="AD69" s="66">
        <v>232.4</v>
      </c>
      <c r="AE69" s="66">
        <v>231.869</v>
      </c>
      <c r="AF69" s="66">
        <v>232.05500000000001</v>
      </c>
      <c r="AG69" s="66">
        <v>232.02199999999999</v>
      </c>
      <c r="AH69" s="66">
        <v>232.03299999999999</v>
      </c>
      <c r="AI69" s="66">
        <v>231.995</v>
      </c>
      <c r="AJ69" s="71"/>
      <c r="AK69" s="66">
        <f t="shared" si="77"/>
        <v>-0.34799999999998477</v>
      </c>
      <c r="AL69" s="72">
        <f t="shared" si="67"/>
        <v>6.3999999999992951E-2</v>
      </c>
      <c r="AM69" s="72">
        <f t="shared" si="68"/>
        <v>-0.10900000000000887</v>
      </c>
      <c r="AN69" s="72">
        <f t="shared" si="69"/>
        <v>-0.13299999999998136</v>
      </c>
      <c r="AO69" s="72">
        <f t="shared" si="70"/>
        <v>-8.100000000001728E-2</v>
      </c>
      <c r="AP69" s="72">
        <f t="shared" si="78"/>
        <v>-7.9000000000007731E-2</v>
      </c>
      <c r="AQ69" s="72">
        <f t="shared" si="79"/>
        <v>-6.3999999999992951E-2</v>
      </c>
      <c r="AR69" s="72">
        <f t="shared" si="80"/>
        <v>-5.7999999999992724E-2</v>
      </c>
      <c r="AS69" s="66">
        <f t="shared" si="4"/>
        <v>-0.34000000000000341</v>
      </c>
      <c r="AT69" s="111">
        <f t="shared" si="62"/>
        <v>0.15299999999999159</v>
      </c>
      <c r="AU69" s="111">
        <f t="shared" si="6"/>
        <v>-2.6999999999986812E-2</v>
      </c>
      <c r="AV69" s="108">
        <f t="shared" si="7"/>
        <v>-9.2909090909090122E-2</v>
      </c>
      <c r="AW69" s="73">
        <f t="shared" si="71"/>
        <v>-0.20799999999999841</v>
      </c>
      <c r="AX69" s="72">
        <f t="shared" si="72"/>
        <v>-0.24199999999999022</v>
      </c>
      <c r="AY69" s="72">
        <f t="shared" si="73"/>
        <v>-6.0000000000002274E-3</v>
      </c>
      <c r="AZ69" s="72">
        <f t="shared" si="74"/>
        <v>-0.14300000000000068</v>
      </c>
      <c r="BA69" s="72">
        <f t="shared" si="75"/>
        <v>-0.13400000000001455</v>
      </c>
      <c r="BB69" s="72">
        <f t="shared" si="76"/>
        <v>0.26900000000000546</v>
      </c>
      <c r="BC69" s="72">
        <f t="shared" si="82"/>
        <v>-0.20300000000000296</v>
      </c>
      <c r="BD69" s="72">
        <f t="shared" si="58"/>
        <v>-6.1499999999995225E-2</v>
      </c>
      <c r="BE69" s="72">
        <f t="shared" si="9"/>
        <v>-0.34499999999999886</v>
      </c>
      <c r="BF69" s="72">
        <f t="shared" si="59"/>
        <v>-2.2000000000019782E-2</v>
      </c>
      <c r="BG69" s="72">
        <f t="shared" si="60"/>
        <v>-0.18350000000000932</v>
      </c>
      <c r="BH69" s="72">
        <f t="shared" si="81"/>
        <v>-0.10518181818181915</v>
      </c>
    </row>
    <row r="70" spans="1:60" x14ac:dyDescent="0.25">
      <c r="A70" s="65">
        <v>2348</v>
      </c>
      <c r="B70" s="66">
        <v>2256684.7310000001</v>
      </c>
      <c r="C70" s="66">
        <v>6084032.8090000004</v>
      </c>
      <c r="D70" s="66">
        <v>111.702</v>
      </c>
      <c r="E70" s="67" t="s">
        <v>87</v>
      </c>
      <c r="F70" s="68">
        <v>2012</v>
      </c>
      <c r="G70" s="66">
        <v>113.36499999999999</v>
      </c>
      <c r="H70" s="68">
        <v>2012</v>
      </c>
      <c r="I70" s="66">
        <v>113.44199999999999</v>
      </c>
      <c r="J70" s="68">
        <v>2023</v>
      </c>
      <c r="K70" s="149"/>
      <c r="L70" s="66"/>
      <c r="M70" s="66">
        <v>113.44199999999999</v>
      </c>
      <c r="N70" s="66">
        <v>113.36499999999999</v>
      </c>
      <c r="O70" s="66">
        <v>113.253</v>
      </c>
      <c r="P70" s="66">
        <v>113.081</v>
      </c>
      <c r="Q70" s="66">
        <v>113.08</v>
      </c>
      <c r="R70" s="66">
        <v>113.14700000000001</v>
      </c>
      <c r="S70" s="69">
        <v>112.976</v>
      </c>
      <c r="T70" s="66">
        <v>112.854</v>
      </c>
      <c r="U70" s="69">
        <v>112.828</v>
      </c>
      <c r="V70" s="66">
        <v>112.67700000000001</v>
      </c>
      <c r="W70" s="66">
        <v>112.621</v>
      </c>
      <c r="X70" s="66">
        <v>112.58</v>
      </c>
      <c r="Y70" s="66">
        <v>112.498</v>
      </c>
      <c r="Z70" s="66">
        <v>112.45699999999999</v>
      </c>
      <c r="AA70" s="66">
        <v>112.384</v>
      </c>
      <c r="AB70" s="66">
        <v>112.325</v>
      </c>
      <c r="AC70" s="70">
        <v>112.199</v>
      </c>
      <c r="AD70" s="66">
        <v>112.093</v>
      </c>
      <c r="AE70" s="66">
        <v>111.979</v>
      </c>
      <c r="AF70" s="66">
        <v>111.842</v>
      </c>
      <c r="AG70" s="66">
        <v>111.804</v>
      </c>
      <c r="AH70" s="66">
        <v>111.744</v>
      </c>
      <c r="AI70" s="66">
        <v>111.809</v>
      </c>
      <c r="AJ70" s="71"/>
      <c r="AK70" s="66">
        <f t="shared" si="77"/>
        <v>-0.28399999999999181</v>
      </c>
      <c r="AL70" s="72">
        <f t="shared" si="67"/>
        <v>6.6000000000002501E-2</v>
      </c>
      <c r="AM70" s="72">
        <f t="shared" si="68"/>
        <v>-0.29300000000000637</v>
      </c>
      <c r="AN70" s="72">
        <f t="shared" si="69"/>
        <v>-0.1769999999999925</v>
      </c>
      <c r="AO70" s="72">
        <f t="shared" si="70"/>
        <v>-9.7000000000008413E-2</v>
      </c>
      <c r="AP70" s="72">
        <f t="shared" si="78"/>
        <v>-0.12300000000000466</v>
      </c>
      <c r="AQ70" s="72">
        <f t="shared" si="79"/>
        <v>-0.13199999999999079</v>
      </c>
      <c r="AR70" s="72">
        <f t="shared" si="80"/>
        <v>-0.12600000000000477</v>
      </c>
      <c r="AS70" s="66">
        <f t="shared" si="4"/>
        <v>-0.21999999999999886</v>
      </c>
      <c r="AT70" s="111">
        <f t="shared" si="62"/>
        <v>-0.17499999999999716</v>
      </c>
      <c r="AU70" s="111">
        <f t="shared" si="6"/>
        <v>4.9999999999954525E-3</v>
      </c>
      <c r="AV70" s="108">
        <f t="shared" si="7"/>
        <v>-0.14145454545454522</v>
      </c>
      <c r="AW70" s="73">
        <f t="shared" si="71"/>
        <v>-0.18899999999999295</v>
      </c>
      <c r="AX70" s="72">
        <f t="shared" si="72"/>
        <v>-0.17300000000000182</v>
      </c>
      <c r="AY70" s="72">
        <f t="shared" si="73"/>
        <v>-0.1039999999999992</v>
      </c>
      <c r="AZ70" s="72">
        <f t="shared" si="74"/>
        <v>-0.14799999999999613</v>
      </c>
      <c r="BA70" s="72">
        <f t="shared" si="75"/>
        <v>-0.20700000000000784</v>
      </c>
      <c r="BB70" s="72">
        <f t="shared" si="76"/>
        <v>-0.12299999999999045</v>
      </c>
      <c r="BC70" s="72">
        <f t="shared" si="82"/>
        <v>-0.11400000000000432</v>
      </c>
      <c r="BD70" s="72">
        <f t="shared" si="58"/>
        <v>-0.14549999999999841</v>
      </c>
      <c r="BE70" s="72">
        <f t="shared" si="9"/>
        <v>-0.25100000000000477</v>
      </c>
      <c r="BF70" s="72">
        <f t="shared" si="59"/>
        <v>-9.7999999999998977E-2</v>
      </c>
      <c r="BG70" s="72">
        <f t="shared" si="60"/>
        <v>-0.17450000000000188</v>
      </c>
      <c r="BH70" s="72">
        <f t="shared" si="81"/>
        <v>-0.15436363636363576</v>
      </c>
    </row>
    <row r="71" spans="1:60" x14ac:dyDescent="0.25">
      <c r="A71" s="65">
        <v>2362</v>
      </c>
      <c r="B71" s="66">
        <v>2256922.943</v>
      </c>
      <c r="C71" s="66">
        <v>6143246.3080000002</v>
      </c>
      <c r="D71" s="66">
        <v>145.08500000000001</v>
      </c>
      <c r="E71" s="67" t="s">
        <v>88</v>
      </c>
      <c r="F71" s="68">
        <v>2012</v>
      </c>
      <c r="G71" s="66">
        <v>149.62100000000001</v>
      </c>
      <c r="H71" s="68">
        <v>2012</v>
      </c>
      <c r="I71" s="66">
        <v>149.81800000000001</v>
      </c>
      <c r="J71" s="68">
        <v>2023</v>
      </c>
      <c r="K71" s="149"/>
      <c r="L71" s="66"/>
      <c r="M71" s="66">
        <v>149.81800000000001</v>
      </c>
      <c r="N71" s="66">
        <v>149.62100000000001</v>
      </c>
      <c r="O71" s="66">
        <v>149.286</v>
      </c>
      <c r="P71" s="66">
        <v>148.89099999999999</v>
      </c>
      <c r="Q71" s="66">
        <v>148.68199999999999</v>
      </c>
      <c r="R71" s="66">
        <v>148.51599999999999</v>
      </c>
      <c r="S71" s="69">
        <v>148.02099999999999</v>
      </c>
      <c r="T71" s="66">
        <v>147.65299999999999</v>
      </c>
      <c r="U71" s="66">
        <v>147.36199999999999</v>
      </c>
      <c r="V71" s="66">
        <v>147.04400000000001</v>
      </c>
      <c r="W71" s="66">
        <v>146.845</v>
      </c>
      <c r="X71" s="66">
        <v>146.75</v>
      </c>
      <c r="Y71" s="66">
        <v>146.57499999999999</v>
      </c>
      <c r="Z71" s="66">
        <v>146.393</v>
      </c>
      <c r="AA71" s="66">
        <v>146.35</v>
      </c>
      <c r="AB71" s="66">
        <v>146.24799999999999</v>
      </c>
      <c r="AC71" s="70">
        <v>146.005</v>
      </c>
      <c r="AD71" s="66">
        <v>145.774</v>
      </c>
      <c r="AE71" s="66">
        <v>145.619</v>
      </c>
      <c r="AF71" s="66">
        <v>145.37100000000001</v>
      </c>
      <c r="AG71" s="66">
        <v>145.24799999999999</v>
      </c>
      <c r="AH71" s="66">
        <v>145.21700000000001</v>
      </c>
      <c r="AI71" s="66">
        <v>145.221</v>
      </c>
      <c r="AJ71" s="71"/>
      <c r="AK71" s="66">
        <f t="shared" si="77"/>
        <v>-0.73000000000001819</v>
      </c>
      <c r="AL71" s="72">
        <f t="shared" si="67"/>
        <v>-0.375</v>
      </c>
      <c r="AM71" s="72">
        <f t="shared" si="68"/>
        <v>-0.86299999999999955</v>
      </c>
      <c r="AN71" s="72">
        <f t="shared" si="69"/>
        <v>-0.60899999999998045</v>
      </c>
      <c r="AO71" s="72">
        <f t="shared" si="70"/>
        <v>-0.29400000000001114</v>
      </c>
      <c r="AP71" s="72">
        <f t="shared" si="78"/>
        <v>-0.35699999999999932</v>
      </c>
      <c r="AQ71" s="72">
        <f t="shared" si="79"/>
        <v>-0.14500000000001023</v>
      </c>
      <c r="AR71" s="72">
        <f t="shared" si="80"/>
        <v>-0.242999999999995</v>
      </c>
      <c r="AS71" s="66">
        <f t="shared" ref="AS71:AS77" si="83">(AE71-AC71)</f>
        <v>-0.38599999999999568</v>
      </c>
      <c r="AT71" s="111">
        <f t="shared" si="62"/>
        <v>-0.37100000000000932</v>
      </c>
      <c r="AU71" s="111">
        <f t="shared" ref="AU71:AU83" si="84">AI71-AG71</f>
        <v>-2.6999999999986812E-2</v>
      </c>
      <c r="AV71" s="108">
        <f t="shared" ref="AV71:AV83" si="85">(AI71-G71)/(2023-F71)</f>
        <v>-0.40000000000000052</v>
      </c>
      <c r="AW71" s="73">
        <f t="shared" si="71"/>
        <v>-0.53200000000001069</v>
      </c>
      <c r="AX71" s="72">
        <f t="shared" si="72"/>
        <v>-0.60400000000001342</v>
      </c>
      <c r="AY71" s="72">
        <f t="shared" si="73"/>
        <v>-0.66100000000000136</v>
      </c>
      <c r="AZ71" s="72">
        <f t="shared" si="74"/>
        <v>-0.65899999999999181</v>
      </c>
      <c r="BA71" s="72">
        <f t="shared" si="75"/>
        <v>-0.51699999999999591</v>
      </c>
      <c r="BB71" s="72">
        <f t="shared" si="76"/>
        <v>-0.27000000000001023</v>
      </c>
      <c r="BC71" s="72">
        <f t="shared" si="82"/>
        <v>-0.22499999999999432</v>
      </c>
      <c r="BD71" s="72">
        <f t="shared" si="58"/>
        <v>-0.2879999999999967</v>
      </c>
      <c r="BE71" s="72">
        <f t="shared" ref="BE71:BE83" si="86">AF71-AD71</f>
        <v>-0.40299999999999159</v>
      </c>
      <c r="BF71" s="72">
        <f t="shared" si="59"/>
        <v>-0.15399999999999636</v>
      </c>
      <c r="BG71" s="72">
        <f t="shared" si="60"/>
        <v>-0.27849999999999397</v>
      </c>
      <c r="BH71" s="72">
        <f t="shared" si="81"/>
        <v>-0.41827272727272718</v>
      </c>
    </row>
    <row r="72" spans="1:60" x14ac:dyDescent="0.25">
      <c r="A72" s="65">
        <v>2378</v>
      </c>
      <c r="B72" s="66">
        <v>2256382.0860000001</v>
      </c>
      <c r="C72" s="66">
        <v>6184306.4819999998</v>
      </c>
      <c r="D72" s="66">
        <v>177.27699999999999</v>
      </c>
      <c r="E72" s="67" t="s">
        <v>89</v>
      </c>
      <c r="F72" s="68">
        <v>2012</v>
      </c>
      <c r="G72" s="66">
        <v>182.47</v>
      </c>
      <c r="H72" s="68">
        <v>2012</v>
      </c>
      <c r="I72" s="66">
        <v>182.58799999999999</v>
      </c>
      <c r="J72" s="68">
        <v>2023</v>
      </c>
      <c r="K72" s="149"/>
      <c r="L72" s="66"/>
      <c r="M72" s="66">
        <v>182.58799999999999</v>
      </c>
      <c r="N72" s="66">
        <v>182.47</v>
      </c>
      <c r="O72" s="66">
        <v>182.262</v>
      </c>
      <c r="P72" s="66">
        <v>181.863</v>
      </c>
      <c r="Q72" s="66">
        <v>181.62899999999999</v>
      </c>
      <c r="R72" s="66">
        <v>181.46299999999999</v>
      </c>
      <c r="S72" s="69">
        <v>181.03899999999999</v>
      </c>
      <c r="T72" s="66">
        <v>180.71600000000001</v>
      </c>
      <c r="U72" s="69">
        <v>180.50899999999999</v>
      </c>
      <c r="V72" s="66">
        <v>180.17400000000001</v>
      </c>
      <c r="W72" s="66">
        <v>179.904</v>
      </c>
      <c r="X72" s="66">
        <v>179.83</v>
      </c>
      <c r="Y72" s="66">
        <v>179.535</v>
      </c>
      <c r="Z72" s="66">
        <v>179.25299999999999</v>
      </c>
      <c r="AA72" s="66">
        <v>179.14099999999999</v>
      </c>
      <c r="AB72" s="66">
        <v>178.99299999999999</v>
      </c>
      <c r="AC72" s="70">
        <v>178.65</v>
      </c>
      <c r="AD72" s="66">
        <v>178.26900000000001</v>
      </c>
      <c r="AE72" s="66">
        <v>177.91900000000001</v>
      </c>
      <c r="AF72" s="66">
        <v>177.71100000000001</v>
      </c>
      <c r="AG72" s="66">
        <v>177.44399999999999</v>
      </c>
      <c r="AH72" s="66">
        <v>177.416</v>
      </c>
      <c r="AI72" s="66">
        <v>177.37100000000001</v>
      </c>
      <c r="AJ72" s="71"/>
      <c r="AK72" s="66">
        <f t="shared" si="77"/>
        <v>-0.60699999999999932</v>
      </c>
      <c r="AL72" s="72">
        <f t="shared" si="67"/>
        <v>-0.40000000000000568</v>
      </c>
      <c r="AM72" s="72">
        <f t="shared" si="68"/>
        <v>-0.74699999999998568</v>
      </c>
      <c r="AN72" s="72">
        <f t="shared" si="69"/>
        <v>-0.54200000000000159</v>
      </c>
      <c r="AO72" s="72">
        <f t="shared" ref="AO72:AO82" si="87">X72-V72</f>
        <v>-0.34399999999999409</v>
      </c>
      <c r="AP72" s="72">
        <f t="shared" si="78"/>
        <v>-0.5770000000000266</v>
      </c>
      <c r="AQ72" s="72">
        <f t="shared" si="79"/>
        <v>-0.25999999999999091</v>
      </c>
      <c r="AR72" s="72">
        <f t="shared" si="80"/>
        <v>-0.34299999999998931</v>
      </c>
      <c r="AS72" s="66">
        <f t="shared" si="83"/>
        <v>-0.73099999999999454</v>
      </c>
      <c r="AT72" s="111">
        <f t="shared" si="62"/>
        <v>-0.47500000000002274</v>
      </c>
      <c r="AU72" s="111">
        <f t="shared" si="84"/>
        <v>-7.2999999999979082E-2</v>
      </c>
      <c r="AV72" s="108">
        <f t="shared" si="85"/>
        <v>-0.46354545454545359</v>
      </c>
      <c r="AW72" s="73">
        <f t="shared" si="71"/>
        <v>-0.32599999999999341</v>
      </c>
      <c r="AX72" s="72">
        <f t="shared" si="72"/>
        <v>-0.63300000000000978</v>
      </c>
      <c r="AY72" s="72">
        <f t="shared" si="73"/>
        <v>-0.59000000000000341</v>
      </c>
      <c r="AZ72" s="72">
        <f t="shared" si="74"/>
        <v>-0.53000000000000114</v>
      </c>
      <c r="BA72" s="72">
        <f t="shared" si="75"/>
        <v>-0.60499999999998977</v>
      </c>
      <c r="BB72" s="72">
        <f t="shared" si="76"/>
        <v>-0.36899999999999977</v>
      </c>
      <c r="BC72" s="72">
        <f t="shared" si="82"/>
        <v>-0.39400000000000546</v>
      </c>
      <c r="BD72" s="72">
        <f t="shared" si="58"/>
        <v>-0.43599999999999284</v>
      </c>
      <c r="BE72" s="72">
        <f t="shared" si="86"/>
        <v>-0.55799999999999272</v>
      </c>
      <c r="BF72" s="72">
        <f t="shared" si="59"/>
        <v>-0.29500000000001592</v>
      </c>
      <c r="BG72" s="72">
        <f t="shared" si="60"/>
        <v>-0.42650000000000432</v>
      </c>
      <c r="BH72" s="72">
        <f t="shared" si="81"/>
        <v>-0.47018181818181792</v>
      </c>
    </row>
    <row r="73" spans="1:60" x14ac:dyDescent="0.25">
      <c r="A73" s="65">
        <v>2448</v>
      </c>
      <c r="B73" s="66">
        <v>2061261.1440000001</v>
      </c>
      <c r="C73" s="66">
        <v>6266141.1749999998</v>
      </c>
      <c r="D73" s="66">
        <v>195.87200000000001</v>
      </c>
      <c r="E73" s="67" t="s">
        <v>90</v>
      </c>
      <c r="F73" s="68">
        <v>2012</v>
      </c>
      <c r="G73" s="66">
        <v>199.28</v>
      </c>
      <c r="H73" s="68">
        <v>2012</v>
      </c>
      <c r="I73" s="66">
        <v>199.41499999999999</v>
      </c>
      <c r="J73" s="68">
        <v>2023</v>
      </c>
      <c r="K73" s="149"/>
      <c r="L73" s="66"/>
      <c r="M73" s="66">
        <v>199.41499999999999</v>
      </c>
      <c r="N73" s="66">
        <v>199.28</v>
      </c>
      <c r="O73" s="66">
        <v>199.18700000000001</v>
      </c>
      <c r="P73" s="66">
        <v>198.756</v>
      </c>
      <c r="Q73" s="66">
        <v>198.536</v>
      </c>
      <c r="R73" s="66">
        <v>198.501</v>
      </c>
      <c r="S73" s="69">
        <v>198.22800000000001</v>
      </c>
      <c r="T73" s="66">
        <v>198.03200000000001</v>
      </c>
      <c r="U73" s="66">
        <v>197.88900000000001</v>
      </c>
      <c r="V73" s="66">
        <v>197.703</v>
      </c>
      <c r="W73" s="66">
        <v>197.64099999999999</v>
      </c>
      <c r="X73" s="66">
        <v>197.57</v>
      </c>
      <c r="Y73" s="66">
        <v>197.559</v>
      </c>
      <c r="Z73" s="66">
        <v>197.33799999999999</v>
      </c>
      <c r="AA73" s="66">
        <v>197.27500000000001</v>
      </c>
      <c r="AB73" s="66">
        <v>197.15299999999999</v>
      </c>
      <c r="AC73" s="70">
        <v>196.80799999999999</v>
      </c>
      <c r="AD73" s="66">
        <v>196.756</v>
      </c>
      <c r="AE73" s="66">
        <v>196.18600000000001</v>
      </c>
      <c r="AF73" s="66">
        <v>196.00700000000001</v>
      </c>
      <c r="AG73" s="66">
        <v>195.97399999999999</v>
      </c>
      <c r="AH73" s="66">
        <v>195.922</v>
      </c>
      <c r="AI73" s="66">
        <v>195.90299999999999</v>
      </c>
      <c r="AJ73" s="71"/>
      <c r="AK73" s="66">
        <f t="shared" si="77"/>
        <v>-0.52400000000000091</v>
      </c>
      <c r="AL73" s="72">
        <f t="shared" si="67"/>
        <v>-0.25499999999999545</v>
      </c>
      <c r="AM73" s="72">
        <f t="shared" si="68"/>
        <v>-0.46899999999999409</v>
      </c>
      <c r="AN73" s="72">
        <f t="shared" si="69"/>
        <v>-0.32900000000000773</v>
      </c>
      <c r="AO73" s="72">
        <f t="shared" si="87"/>
        <v>-0.13300000000000978</v>
      </c>
      <c r="AP73" s="72">
        <f t="shared" si="78"/>
        <v>-0.23199999999999932</v>
      </c>
      <c r="AQ73" s="72">
        <f t="shared" si="79"/>
        <v>-0.18500000000000227</v>
      </c>
      <c r="AR73" s="72">
        <f t="shared" si="80"/>
        <v>-0.34499999999999886</v>
      </c>
      <c r="AS73" s="66">
        <f t="shared" si="83"/>
        <v>-0.62199999999998568</v>
      </c>
      <c r="AT73" s="111">
        <f t="shared" si="62"/>
        <v>-0.21200000000001751</v>
      </c>
      <c r="AU73" s="111">
        <f t="shared" si="84"/>
        <v>-7.0999999999997954E-2</v>
      </c>
      <c r="AV73" s="108">
        <f t="shared" si="85"/>
        <v>-0.30700000000000088</v>
      </c>
      <c r="AW73" s="73">
        <f t="shared" si="71"/>
        <v>-0.22799999999998022</v>
      </c>
      <c r="AX73" s="72">
        <f t="shared" si="72"/>
        <v>-0.65100000000001046</v>
      </c>
      <c r="AY73" s="72">
        <f t="shared" si="73"/>
        <v>-0.30799999999999272</v>
      </c>
      <c r="AZ73" s="72">
        <f t="shared" si="74"/>
        <v>-0.33899999999999864</v>
      </c>
      <c r="BA73" s="72">
        <f t="shared" si="75"/>
        <v>-0.24800000000001887</v>
      </c>
      <c r="BB73" s="72">
        <f t="shared" si="76"/>
        <v>-8.1999999999993634E-2</v>
      </c>
      <c r="BC73" s="72">
        <f t="shared" si="82"/>
        <v>-0.28399999999999181</v>
      </c>
      <c r="BD73" s="72">
        <f t="shared" si="58"/>
        <v>-0.25950000000000273</v>
      </c>
      <c r="BE73" s="72">
        <f t="shared" si="86"/>
        <v>-0.74899999999999523</v>
      </c>
      <c r="BF73" s="72">
        <f t="shared" si="59"/>
        <v>-8.5000000000007958E-2</v>
      </c>
      <c r="BG73" s="72">
        <f t="shared" si="60"/>
        <v>-0.41700000000000159</v>
      </c>
      <c r="BH73" s="72">
        <f t="shared" si="81"/>
        <v>-0.31754545454545408</v>
      </c>
    </row>
    <row r="74" spans="1:60" x14ac:dyDescent="0.25">
      <c r="A74" s="65">
        <v>2562</v>
      </c>
      <c r="B74" s="66">
        <v>2232976.85</v>
      </c>
      <c r="C74" s="66">
        <v>6129496.5880000005</v>
      </c>
      <c r="D74" s="66">
        <v>130.49799999999999</v>
      </c>
      <c r="E74" s="67" t="s">
        <v>91</v>
      </c>
      <c r="F74" s="68">
        <v>2012</v>
      </c>
      <c r="G74" s="66">
        <v>133.63499999999999</v>
      </c>
      <c r="H74" s="68">
        <v>2012</v>
      </c>
      <c r="I74" s="66">
        <v>133.74100000000001</v>
      </c>
      <c r="J74" s="68">
        <v>2023</v>
      </c>
      <c r="K74" s="149"/>
      <c r="L74" s="66"/>
      <c r="M74" s="66">
        <v>133.74100000000001</v>
      </c>
      <c r="N74" s="66">
        <v>133.63499999999999</v>
      </c>
      <c r="O74" s="66">
        <v>133.54</v>
      </c>
      <c r="P74" s="66">
        <v>133.214</v>
      </c>
      <c r="Q74" s="66">
        <v>133.13</v>
      </c>
      <c r="R74" s="66">
        <v>133.08500000000001</v>
      </c>
      <c r="S74" s="69">
        <v>132.648</v>
      </c>
      <c r="T74" s="66">
        <v>132.40100000000001</v>
      </c>
      <c r="U74" s="69">
        <v>132.345</v>
      </c>
      <c r="V74" s="66">
        <v>132.05699999999999</v>
      </c>
      <c r="W74" s="66">
        <v>131.93</v>
      </c>
      <c r="X74" s="66">
        <v>131.88</v>
      </c>
      <c r="Y74" s="66">
        <v>131.80099999999999</v>
      </c>
      <c r="Z74" s="66">
        <v>131.62200000000001</v>
      </c>
      <c r="AA74" s="66">
        <v>131.54900000000001</v>
      </c>
      <c r="AB74" s="66"/>
      <c r="AC74" s="70">
        <v>131.26499999999999</v>
      </c>
      <c r="AD74" s="66">
        <v>131.08000000000001</v>
      </c>
      <c r="AE74" s="66">
        <v>130.92400000000001</v>
      </c>
      <c r="AF74" s="66">
        <v>130.79900000000001</v>
      </c>
      <c r="AG74" s="66">
        <v>130.66999999999999</v>
      </c>
      <c r="AH74" s="66">
        <v>130.61199999999999</v>
      </c>
      <c r="AI74" s="66">
        <v>130.61099999999999</v>
      </c>
      <c r="AJ74" s="71"/>
      <c r="AK74" s="66">
        <f t="shared" si="77"/>
        <v>-0.42099999999999227</v>
      </c>
      <c r="AL74" s="72">
        <f t="shared" si="67"/>
        <v>-0.12899999999999068</v>
      </c>
      <c r="AM74" s="72">
        <f t="shared" si="68"/>
        <v>-0.6839999999999975</v>
      </c>
      <c r="AN74" s="72">
        <f t="shared" si="69"/>
        <v>-0.34400000000002251</v>
      </c>
      <c r="AO74" s="72">
        <f t="shared" si="87"/>
        <v>-0.1769999999999925</v>
      </c>
      <c r="AP74" s="72">
        <f t="shared" si="78"/>
        <v>-0.25799999999998136</v>
      </c>
      <c r="AQ74" s="72"/>
      <c r="AR74" s="72"/>
      <c r="AS74" s="66">
        <f t="shared" si="83"/>
        <v>-0.34099999999997976</v>
      </c>
      <c r="AT74" s="111">
        <f t="shared" si="62"/>
        <v>-0.2540000000000191</v>
      </c>
      <c r="AU74" s="111">
        <f t="shared" si="84"/>
        <v>-5.8999999999997499E-2</v>
      </c>
      <c r="AV74" s="108">
        <f t="shared" si="85"/>
        <v>-0.27490909090909099</v>
      </c>
      <c r="AW74" s="73">
        <f t="shared" si="71"/>
        <v>-0.20100000000002183</v>
      </c>
      <c r="AX74" s="72">
        <f t="shared" si="72"/>
        <v>-0.40999999999999659</v>
      </c>
      <c r="AY74" s="72">
        <f t="shared" si="73"/>
        <v>-0.48199999999999932</v>
      </c>
      <c r="AZ74" s="72">
        <f t="shared" si="74"/>
        <v>-0.30299999999999727</v>
      </c>
      <c r="BA74" s="72">
        <f t="shared" ref="BA74:BA83" si="88">W74-U74</f>
        <v>-0.41499999999999204</v>
      </c>
      <c r="BB74" s="72">
        <f t="shared" si="76"/>
        <v>-0.1290000000000191</v>
      </c>
      <c r="BC74" s="72">
        <f t="shared" si="82"/>
        <v>-0.25199999999998113</v>
      </c>
      <c r="BD74" s="72">
        <f t="shared" si="58"/>
        <v>-0.23449999999999704</v>
      </c>
      <c r="BE74" s="72">
        <f t="shared" si="86"/>
        <v>-0.28100000000000591</v>
      </c>
      <c r="BF74" s="72">
        <f t="shared" si="59"/>
        <v>-0.18700000000001182</v>
      </c>
      <c r="BG74" s="72">
        <f t="shared" si="60"/>
        <v>-0.23400000000000887</v>
      </c>
      <c r="BH74" s="72">
        <f t="shared" si="81"/>
        <v>-0.28445454545454718</v>
      </c>
    </row>
    <row r="75" spans="1:60" x14ac:dyDescent="0.25">
      <c r="A75" s="65" t="s">
        <v>92</v>
      </c>
      <c r="B75" s="66">
        <v>2405238.986</v>
      </c>
      <c r="C75" s="66">
        <v>6241496.5029999996</v>
      </c>
      <c r="D75" s="66">
        <v>1289.298</v>
      </c>
      <c r="E75" s="67" t="s">
        <v>93</v>
      </c>
      <c r="F75" s="68">
        <v>2013</v>
      </c>
      <c r="G75" s="66">
        <v>1289.2950000000001</v>
      </c>
      <c r="H75" s="68">
        <v>2014</v>
      </c>
      <c r="I75" s="66">
        <v>1289.337</v>
      </c>
      <c r="J75" s="68">
        <v>2023</v>
      </c>
      <c r="K75" s="149"/>
      <c r="L75" s="66"/>
      <c r="M75" s="66"/>
      <c r="N75" s="66"/>
      <c r="O75" s="66"/>
      <c r="P75" s="66">
        <v>1289.2950000000001</v>
      </c>
      <c r="Q75" s="66">
        <v>1289.337</v>
      </c>
      <c r="R75" s="66">
        <v>1289.2280000000001</v>
      </c>
      <c r="S75" s="69">
        <v>1289.3710000000001</v>
      </c>
      <c r="T75" s="66">
        <v>1289.354</v>
      </c>
      <c r="U75" s="66">
        <v>1289.4580000000001</v>
      </c>
      <c r="V75" s="66">
        <v>1289.1679999999999</v>
      </c>
      <c r="W75" s="66">
        <v>1289.422</v>
      </c>
      <c r="X75" s="66">
        <v>1289.32</v>
      </c>
      <c r="Y75" s="66">
        <v>1289.4169999999999</v>
      </c>
      <c r="Z75" s="66">
        <v>1289.3579999999999</v>
      </c>
      <c r="AA75" s="66">
        <v>1289.366</v>
      </c>
      <c r="AB75" s="66">
        <v>1289.3209999999999</v>
      </c>
      <c r="AC75" s="70">
        <v>1289.376</v>
      </c>
      <c r="AD75" s="66">
        <v>1289.489</v>
      </c>
      <c r="AE75" s="66">
        <v>1289.2550000000001</v>
      </c>
      <c r="AF75" s="66">
        <v>1289.4469999999999</v>
      </c>
      <c r="AG75" s="66">
        <v>1289.2570000000001</v>
      </c>
      <c r="AH75" s="66">
        <v>1289.473</v>
      </c>
      <c r="AI75" s="66">
        <v>1289.424</v>
      </c>
      <c r="AJ75" s="66"/>
      <c r="AK75" s="66"/>
      <c r="AL75" s="72">
        <f t="shared" si="67"/>
        <v>-6.7000000000007276E-2</v>
      </c>
      <c r="AM75" s="72">
        <f t="shared" si="68"/>
        <v>0.12599999999997635</v>
      </c>
      <c r="AN75" s="72">
        <f t="shared" si="69"/>
        <v>-0.18600000000014916</v>
      </c>
      <c r="AO75" s="72">
        <f t="shared" si="87"/>
        <v>0.15200000000004366</v>
      </c>
      <c r="AP75" s="72">
        <f t="shared" si="78"/>
        <v>3.8000000000010914E-2</v>
      </c>
      <c r="AQ75" s="72">
        <f t="shared" ref="AQ75:AQ81" si="89">AB75-Z75</f>
        <v>-3.7000000000034561E-2</v>
      </c>
      <c r="AR75" s="72">
        <f t="shared" ref="AR75:AR81" si="90">AC75-AB75</f>
        <v>5.5000000000063665E-2</v>
      </c>
      <c r="AS75" s="66">
        <f t="shared" si="83"/>
        <v>-0.12099999999986721</v>
      </c>
      <c r="AT75" s="111">
        <f t="shared" si="62"/>
        <v>1.9999999999527063E-3</v>
      </c>
      <c r="AU75" s="111">
        <f t="shared" si="84"/>
        <v>0.16699999999991633</v>
      </c>
      <c r="AV75" s="108">
        <f t="shared" si="85"/>
        <v>1.2899999999990541E-2</v>
      </c>
      <c r="AW75" s="71"/>
      <c r="AX75" s="71"/>
      <c r="AY75" s="72">
        <f t="shared" si="73"/>
        <v>3.4000000000105501E-2</v>
      </c>
      <c r="AZ75" s="72">
        <f t="shared" si="74"/>
        <v>8.6999999999989086E-2</v>
      </c>
      <c r="BA75" s="72">
        <f t="shared" si="88"/>
        <v>-3.6000000000058208E-2</v>
      </c>
      <c r="BB75" s="72">
        <f t="shared" si="76"/>
        <v>-5.0000000001091394E-3</v>
      </c>
      <c r="BC75" s="72">
        <f t="shared" si="82"/>
        <v>-5.0999999999930878E-2</v>
      </c>
      <c r="BD75" s="72">
        <f t="shared" si="58"/>
        <v>6.1500000000023647E-2</v>
      </c>
      <c r="BE75" s="72">
        <f t="shared" si="86"/>
        <v>-4.20000000001437E-2</v>
      </c>
      <c r="BF75" s="72">
        <f t="shared" si="59"/>
        <v>2.6000000000067303E-2</v>
      </c>
      <c r="BG75" s="72">
        <f t="shared" si="60"/>
        <v>-8.0000000000381988E-3</v>
      </c>
      <c r="BH75" s="72">
        <f t="shared" si="81"/>
        <v>1.5111111111107474E-2</v>
      </c>
    </row>
    <row r="76" spans="1:60" x14ac:dyDescent="0.25">
      <c r="A76" s="65" t="s">
        <v>94</v>
      </c>
      <c r="B76" s="66">
        <v>2273179.3909999998</v>
      </c>
      <c r="C76" s="66">
        <v>6009947.6710000001</v>
      </c>
      <c r="D76" s="66">
        <v>137.81800000000001</v>
      </c>
      <c r="E76" s="67" t="s">
        <v>95</v>
      </c>
      <c r="F76" s="68">
        <v>2013</v>
      </c>
      <c r="G76" s="66">
        <v>137.88300000000001</v>
      </c>
      <c r="H76" s="68">
        <v>2014</v>
      </c>
      <c r="I76" s="66">
        <v>137.964</v>
      </c>
      <c r="J76" s="68">
        <v>2023</v>
      </c>
      <c r="K76" s="149"/>
      <c r="L76" s="66"/>
      <c r="M76" s="66"/>
      <c r="N76" s="66"/>
      <c r="O76" s="66"/>
      <c r="P76" s="66">
        <v>137.88300000000001</v>
      </c>
      <c r="Q76" s="66">
        <v>137.964</v>
      </c>
      <c r="R76" s="66">
        <v>137.959</v>
      </c>
      <c r="S76" s="69">
        <v>137.922</v>
      </c>
      <c r="T76" s="66">
        <v>137.83000000000001</v>
      </c>
      <c r="U76" s="69">
        <v>137.864</v>
      </c>
      <c r="V76" s="66">
        <v>137.89099999999999</v>
      </c>
      <c r="W76" s="66">
        <v>137.96700000000001</v>
      </c>
      <c r="X76" s="66">
        <v>137.94999999999999</v>
      </c>
      <c r="Y76" s="66">
        <v>137.86699999999999</v>
      </c>
      <c r="Z76" s="66">
        <v>137.899</v>
      </c>
      <c r="AA76" s="66">
        <v>137.88800000000001</v>
      </c>
      <c r="AB76" s="66">
        <v>138.001</v>
      </c>
      <c r="AC76" s="70">
        <v>137.82</v>
      </c>
      <c r="AD76" s="66">
        <v>137.845</v>
      </c>
      <c r="AE76" s="66">
        <v>137.715</v>
      </c>
      <c r="AF76" s="66">
        <v>137.72</v>
      </c>
      <c r="AG76" s="66">
        <v>137.65600000000001</v>
      </c>
      <c r="AH76" s="66">
        <v>137.732</v>
      </c>
      <c r="AI76" s="66">
        <v>137.90600000000001</v>
      </c>
      <c r="AJ76" s="66"/>
      <c r="AK76" s="66"/>
      <c r="AL76" s="72">
        <f t="shared" si="67"/>
        <v>7.5999999999993406E-2</v>
      </c>
      <c r="AM76" s="72">
        <f t="shared" si="68"/>
        <v>-0.12899999999999068</v>
      </c>
      <c r="AN76" s="72">
        <f t="shared" si="69"/>
        <v>6.0999999999978627E-2</v>
      </c>
      <c r="AO76" s="72">
        <f t="shared" si="87"/>
        <v>5.8999999999997499E-2</v>
      </c>
      <c r="AP76" s="72">
        <f t="shared" si="78"/>
        <v>-5.0999999999987722E-2</v>
      </c>
      <c r="AQ76" s="72">
        <f t="shared" si="89"/>
        <v>0.10200000000000387</v>
      </c>
      <c r="AR76" s="72">
        <f t="shared" si="90"/>
        <v>-0.1810000000000116</v>
      </c>
      <c r="AS76" s="66">
        <f t="shared" si="83"/>
        <v>-0.10499999999998977</v>
      </c>
      <c r="AT76" s="111">
        <f t="shared" si="62"/>
        <v>-5.8999999999997499E-2</v>
      </c>
      <c r="AU76" s="111">
        <f t="shared" si="84"/>
        <v>0.25</v>
      </c>
      <c r="AV76" s="108">
        <f t="shared" si="85"/>
        <v>2.2999999999996136E-3</v>
      </c>
      <c r="AW76" s="71"/>
      <c r="AX76" s="71"/>
      <c r="AY76" s="72">
        <f t="shared" si="73"/>
        <v>-4.2000000000001592E-2</v>
      </c>
      <c r="AZ76" s="72">
        <f t="shared" si="74"/>
        <v>-5.7999999999992724E-2</v>
      </c>
      <c r="BA76" s="72">
        <f t="shared" si="88"/>
        <v>0.10300000000000864</v>
      </c>
      <c r="BB76" s="72">
        <f t="shared" si="76"/>
        <v>-0.10000000000002274</v>
      </c>
      <c r="BC76" s="72">
        <f t="shared" si="82"/>
        <v>2.1000000000015007E-2</v>
      </c>
      <c r="BD76" s="72">
        <f t="shared" si="58"/>
        <v>-2.1500000000003183E-2</v>
      </c>
      <c r="BE76" s="72">
        <f t="shared" si="86"/>
        <v>-0.125</v>
      </c>
      <c r="BF76" s="72">
        <f t="shared" si="59"/>
        <v>1.2000000000000455E-2</v>
      </c>
      <c r="BG76" s="72">
        <f t="shared" si="60"/>
        <v>-5.6499999999999773E-2</v>
      </c>
      <c r="BH76" s="72">
        <f t="shared" si="81"/>
        <v>-2.5777777777777702E-2</v>
      </c>
    </row>
    <row r="77" spans="1:60" x14ac:dyDescent="0.25">
      <c r="A77" s="65" t="s">
        <v>96</v>
      </c>
      <c r="B77" s="66">
        <v>2197033.0299999998</v>
      </c>
      <c r="C77" s="66">
        <v>6077365.9210000001</v>
      </c>
      <c r="D77" s="66">
        <v>189.19300000000001</v>
      </c>
      <c r="E77" s="67" t="s">
        <v>97</v>
      </c>
      <c r="F77" s="68">
        <v>2013</v>
      </c>
      <c r="G77" s="66">
        <v>189.839</v>
      </c>
      <c r="H77" s="68">
        <v>2014</v>
      </c>
      <c r="I77" s="66">
        <v>189.78399999999999</v>
      </c>
      <c r="J77" s="68">
        <v>2023</v>
      </c>
      <c r="K77" s="149"/>
      <c r="L77" s="66"/>
      <c r="M77" s="66"/>
      <c r="N77" s="66"/>
      <c r="O77" s="66"/>
      <c r="P77" s="66">
        <v>189.839</v>
      </c>
      <c r="Q77" s="66">
        <v>189.78399999999999</v>
      </c>
      <c r="R77" s="66">
        <v>189.93509999999998</v>
      </c>
      <c r="S77" s="69">
        <v>189.79599999999999</v>
      </c>
      <c r="T77" s="66">
        <v>189.67500000000001</v>
      </c>
      <c r="U77" s="66">
        <v>189.75200000000001</v>
      </c>
      <c r="V77" s="66">
        <v>189.547</v>
      </c>
      <c r="W77" s="66">
        <v>189.65899999999999</v>
      </c>
      <c r="X77" s="66">
        <v>189.64</v>
      </c>
      <c r="Y77" s="66">
        <v>189.63499999999999</v>
      </c>
      <c r="Z77" s="66">
        <v>189.55799999999999</v>
      </c>
      <c r="AA77" s="66">
        <v>189.61600000000001</v>
      </c>
      <c r="AB77" s="66">
        <v>189.589</v>
      </c>
      <c r="AC77" s="70">
        <v>189.483</v>
      </c>
      <c r="AD77" s="66">
        <v>189.38800000000001</v>
      </c>
      <c r="AE77" s="66">
        <v>189.31800000000001</v>
      </c>
      <c r="AF77" s="66">
        <v>189.27600000000001</v>
      </c>
      <c r="AG77" s="66">
        <v>189.13800000000001</v>
      </c>
      <c r="AH77" s="66">
        <v>189.226</v>
      </c>
      <c r="AI77" s="66">
        <v>189.321</v>
      </c>
      <c r="AJ77" s="66"/>
      <c r="AK77" s="66"/>
      <c r="AL77" s="72">
        <f t="shared" si="67"/>
        <v>9.6099999999978536E-2</v>
      </c>
      <c r="AM77" s="72">
        <f t="shared" si="68"/>
        <v>-0.2600999999999658</v>
      </c>
      <c r="AN77" s="72">
        <f t="shared" si="69"/>
        <v>-0.12800000000001432</v>
      </c>
      <c r="AO77" s="72">
        <f t="shared" si="87"/>
        <v>9.2999999999989313E-2</v>
      </c>
      <c r="AP77" s="72">
        <f t="shared" si="78"/>
        <v>-8.1999999999993634E-2</v>
      </c>
      <c r="AQ77" s="72">
        <f t="shared" si="89"/>
        <v>3.1000000000005912E-2</v>
      </c>
      <c r="AR77" s="72">
        <f t="shared" si="90"/>
        <v>-0.10599999999999454</v>
      </c>
      <c r="AS77" s="66">
        <f t="shared" si="83"/>
        <v>-0.16499999999999204</v>
      </c>
      <c r="AT77" s="111">
        <f t="shared" si="62"/>
        <v>-0.18000000000000682</v>
      </c>
      <c r="AU77" s="111">
        <f t="shared" si="84"/>
        <v>0.18299999999999272</v>
      </c>
      <c r="AV77" s="108">
        <f t="shared" si="85"/>
        <v>-5.1800000000000068E-2</v>
      </c>
      <c r="AW77" s="71"/>
      <c r="AX77" s="71"/>
      <c r="AY77" s="72">
        <f t="shared" si="73"/>
        <v>1.2000000000000455E-2</v>
      </c>
      <c r="AZ77" s="72">
        <f t="shared" si="74"/>
        <v>-4.399999999998272E-2</v>
      </c>
      <c r="BA77" s="72">
        <f t="shared" si="88"/>
        <v>-9.3000000000017735E-2</v>
      </c>
      <c r="BB77" s="72">
        <f t="shared" si="76"/>
        <v>-2.4000000000000909E-2</v>
      </c>
      <c r="BC77" s="72">
        <f t="shared" si="82"/>
        <v>-1.8999999999977035E-2</v>
      </c>
      <c r="BD77" s="72">
        <f t="shared" si="58"/>
        <v>-0.11400000000000432</v>
      </c>
      <c r="BE77" s="72">
        <f t="shared" si="86"/>
        <v>-0.11199999999999477</v>
      </c>
      <c r="BF77" s="72">
        <f t="shared" si="59"/>
        <v>-5.0000000000011369E-2</v>
      </c>
      <c r="BG77" s="72">
        <f t="shared" si="60"/>
        <v>-8.100000000000307E-2</v>
      </c>
      <c r="BH77" s="72">
        <f t="shared" si="81"/>
        <v>-6.1999999999999195E-2</v>
      </c>
    </row>
    <row r="78" spans="1:60" x14ac:dyDescent="0.25">
      <c r="A78" s="65" t="s">
        <v>98</v>
      </c>
      <c r="B78" s="66">
        <v>2170094.6140000001</v>
      </c>
      <c r="C78" s="66">
        <v>6102734.7999999998</v>
      </c>
      <c r="D78" s="66">
        <v>241.167</v>
      </c>
      <c r="E78" s="67" t="s">
        <v>99</v>
      </c>
      <c r="F78" s="68">
        <v>2021</v>
      </c>
      <c r="G78" s="66">
        <v>241.24</v>
      </c>
      <c r="H78" s="68">
        <v>2021</v>
      </c>
      <c r="I78" s="66">
        <v>241.32900000000001</v>
      </c>
      <c r="J78" s="68">
        <v>2023</v>
      </c>
      <c r="K78" s="149"/>
      <c r="L78" s="66"/>
      <c r="M78" s="66"/>
      <c r="N78" s="66"/>
      <c r="O78" s="66"/>
      <c r="P78" s="66"/>
      <c r="Q78" s="66"/>
      <c r="R78" s="66"/>
      <c r="S78" s="69"/>
      <c r="T78" s="66"/>
      <c r="U78" s="69"/>
      <c r="V78" s="66"/>
      <c r="W78" s="66"/>
      <c r="X78" s="66"/>
      <c r="Y78" s="66"/>
      <c r="Z78" s="66"/>
      <c r="AA78" s="66"/>
      <c r="AB78" s="66"/>
      <c r="AC78" s="70"/>
      <c r="AD78" s="66">
        <v>241.32900000000001</v>
      </c>
      <c r="AE78" s="66">
        <v>241.23500000000001</v>
      </c>
      <c r="AF78" s="66">
        <v>241.101</v>
      </c>
      <c r="AG78" s="66">
        <v>241.07499999999999</v>
      </c>
      <c r="AH78" s="66">
        <v>241.27199999999999</v>
      </c>
      <c r="AI78" s="66">
        <v>241.24700000000001</v>
      </c>
      <c r="AJ78" s="66"/>
      <c r="AK78" s="66"/>
      <c r="AL78" s="72"/>
      <c r="AM78" s="72"/>
      <c r="AN78" s="72"/>
      <c r="AO78" s="72"/>
      <c r="AP78" s="72"/>
      <c r="AQ78" s="72"/>
      <c r="AR78" s="72"/>
      <c r="AS78" s="72"/>
      <c r="AT78" s="111">
        <f t="shared" si="62"/>
        <v>-0.16000000000002501</v>
      </c>
      <c r="AU78" s="111">
        <f t="shared" si="84"/>
        <v>0.17200000000002547</v>
      </c>
      <c r="AV78" s="108">
        <f t="shared" si="85"/>
        <v>3.5000000000025011E-3</v>
      </c>
      <c r="AW78" s="71"/>
      <c r="AX78" s="71"/>
      <c r="AY78" s="72"/>
      <c r="AZ78" s="72"/>
      <c r="BA78" s="72"/>
      <c r="BB78" s="72"/>
      <c r="BC78" s="72"/>
      <c r="BD78" s="72"/>
      <c r="BE78" s="72">
        <f t="shared" si="86"/>
        <v>-0.22800000000000864</v>
      </c>
      <c r="BF78" s="72">
        <f t="shared" si="59"/>
        <v>0.17099999999999227</v>
      </c>
      <c r="BG78" s="72">
        <f t="shared" si="60"/>
        <v>-2.8500000000008185E-2</v>
      </c>
      <c r="BH78" s="72">
        <f t="shared" si="81"/>
        <v>-2.8500000000008185E-2</v>
      </c>
    </row>
    <row r="79" spans="1:60" x14ac:dyDescent="0.25">
      <c r="A79" s="65" t="s">
        <v>100</v>
      </c>
      <c r="B79" s="66">
        <v>2143813.3319999999</v>
      </c>
      <c r="C79" s="66">
        <v>6133818.6310000001</v>
      </c>
      <c r="D79" s="66">
        <v>232.952</v>
      </c>
      <c r="E79" s="67" t="s">
        <v>101</v>
      </c>
      <c r="F79" s="68">
        <v>2013</v>
      </c>
      <c r="G79" s="66">
        <v>233.785</v>
      </c>
      <c r="H79" s="68">
        <v>2014</v>
      </c>
      <c r="I79" s="66">
        <v>233.55799999999999</v>
      </c>
      <c r="J79" s="68">
        <v>2023</v>
      </c>
      <c r="K79" s="149"/>
      <c r="L79" s="66"/>
      <c r="M79" s="66"/>
      <c r="N79" s="66"/>
      <c r="O79" s="66"/>
      <c r="P79" s="66">
        <v>233.785</v>
      </c>
      <c r="Q79" s="66">
        <v>233.55799999999999</v>
      </c>
      <c r="R79" s="66">
        <v>233.69300000000001</v>
      </c>
      <c r="S79" s="69">
        <v>233.54599999999999</v>
      </c>
      <c r="T79" s="66">
        <v>233.315</v>
      </c>
      <c r="U79" s="69">
        <v>233.44300000000001</v>
      </c>
      <c r="V79" s="66">
        <v>233.21799999999999</v>
      </c>
      <c r="W79" s="66">
        <v>233.422</v>
      </c>
      <c r="X79" s="66">
        <v>233.43</v>
      </c>
      <c r="Y79" s="66">
        <v>233.506</v>
      </c>
      <c r="Z79" s="66">
        <v>233.31899999999999</v>
      </c>
      <c r="AA79" s="66">
        <v>233.45500000000001</v>
      </c>
      <c r="AB79" s="66">
        <v>233.376</v>
      </c>
      <c r="AC79" s="70">
        <v>233.197</v>
      </c>
      <c r="AD79" s="66">
        <v>233.137</v>
      </c>
      <c r="AE79" s="66">
        <v>232.94200000000001</v>
      </c>
      <c r="AF79" s="66">
        <v>232.76</v>
      </c>
      <c r="AG79" s="66">
        <v>232.626</v>
      </c>
      <c r="AH79" s="66">
        <v>232.995</v>
      </c>
      <c r="AI79" s="66">
        <v>232.959</v>
      </c>
      <c r="AJ79" s="66"/>
      <c r="AK79" s="66"/>
      <c r="AL79" s="72">
        <f>R79-P79</f>
        <v>-9.1999999999984539E-2</v>
      </c>
      <c r="AM79" s="72">
        <f>T79-R79</f>
        <v>-0.37800000000001432</v>
      </c>
      <c r="AN79" s="72">
        <f>V79-T79</f>
        <v>-9.7000000000008413E-2</v>
      </c>
      <c r="AO79" s="72">
        <f t="shared" si="87"/>
        <v>0.21200000000001751</v>
      </c>
      <c r="AP79" s="72">
        <f t="shared" si="78"/>
        <v>-0.11100000000001842</v>
      </c>
      <c r="AQ79" s="72">
        <f t="shared" si="89"/>
        <v>5.7000000000016371E-2</v>
      </c>
      <c r="AR79" s="72">
        <f t="shared" si="90"/>
        <v>-0.17900000000000205</v>
      </c>
      <c r="AS79" s="66">
        <f t="shared" ref="AS79:AS83" si="91">(AE79-AC79)</f>
        <v>-0.25499999999999545</v>
      </c>
      <c r="AT79" s="111">
        <f t="shared" si="62"/>
        <v>-0.3160000000000025</v>
      </c>
      <c r="AU79" s="111">
        <f t="shared" si="84"/>
        <v>0.33299999999999841</v>
      </c>
      <c r="AV79" s="108">
        <f t="shared" si="85"/>
        <v>-8.2599999999999341E-2</v>
      </c>
      <c r="AW79" s="71"/>
      <c r="AX79" s="71"/>
      <c r="AY79" s="72">
        <f>S79-Q79</f>
        <v>-1.2000000000000455E-2</v>
      </c>
      <c r="AZ79" s="72">
        <f>U79-S79</f>
        <v>-0.10299999999998022</v>
      </c>
      <c r="BA79" s="72">
        <f t="shared" si="88"/>
        <v>-2.1000000000015007E-2</v>
      </c>
      <c r="BB79" s="72">
        <f t="shared" si="76"/>
        <v>8.4000000000003183E-2</v>
      </c>
      <c r="BC79" s="72">
        <f t="shared" si="82"/>
        <v>-5.0999999999987722E-2</v>
      </c>
      <c r="BD79" s="72">
        <f t="shared" ref="BD79:BD83" si="92">(AD79-AA79)/2</f>
        <v>-0.15900000000000603</v>
      </c>
      <c r="BE79" s="72">
        <f t="shared" si="86"/>
        <v>-0.37700000000000955</v>
      </c>
      <c r="BF79" s="72">
        <f t="shared" si="59"/>
        <v>0.23500000000001364</v>
      </c>
      <c r="BG79" s="72">
        <f t="shared" si="60"/>
        <v>-7.0999999999997954E-2</v>
      </c>
      <c r="BH79" s="72">
        <f t="shared" si="81"/>
        <v>-6.255555555555424E-2</v>
      </c>
    </row>
    <row r="80" spans="1:60" x14ac:dyDescent="0.25">
      <c r="A80" s="65" t="s">
        <v>102</v>
      </c>
      <c r="B80" s="66">
        <v>2143787.8190000001</v>
      </c>
      <c r="C80" s="66">
        <v>6458478.398</v>
      </c>
      <c r="D80" s="66">
        <v>506.714</v>
      </c>
      <c r="E80" s="65" t="s">
        <v>130</v>
      </c>
      <c r="F80" s="68">
        <v>2013</v>
      </c>
      <c r="G80" s="66">
        <v>506.73200000000003</v>
      </c>
      <c r="H80" s="66">
        <v>2014</v>
      </c>
      <c r="I80" s="66">
        <v>506.84199999999998</v>
      </c>
      <c r="J80" s="68">
        <v>2023</v>
      </c>
      <c r="K80" s="149"/>
      <c r="L80" s="66"/>
      <c r="M80" s="66"/>
      <c r="N80" s="66"/>
      <c r="O80" s="66"/>
      <c r="P80" s="66">
        <v>506.73200000000003</v>
      </c>
      <c r="Q80" s="66">
        <v>506.84199999999998</v>
      </c>
      <c r="R80" s="66">
        <v>506.654</v>
      </c>
      <c r="S80" s="69">
        <v>507.14600000000002</v>
      </c>
      <c r="T80" s="66">
        <v>506.87299999999999</v>
      </c>
      <c r="U80" s="66">
        <v>506.88799999999998</v>
      </c>
      <c r="V80" s="66">
        <v>506.81099999999998</v>
      </c>
      <c r="W80" s="66">
        <v>506.92700000000002</v>
      </c>
      <c r="X80" s="66">
        <v>506.86</v>
      </c>
      <c r="Y80" s="66">
        <v>506.95400000000001</v>
      </c>
      <c r="Z80" s="66">
        <v>506.64800000000002</v>
      </c>
      <c r="AA80" s="66">
        <f>502.589+4.2</f>
        <v>506.78899999999999</v>
      </c>
      <c r="AB80" s="66">
        <v>506.72399999999999</v>
      </c>
      <c r="AC80" s="70">
        <v>506.786</v>
      </c>
      <c r="AD80" s="66">
        <v>506.964</v>
      </c>
      <c r="AE80" s="66">
        <v>506.66899999999998</v>
      </c>
      <c r="AF80" s="66">
        <v>506.71100000000001</v>
      </c>
      <c r="AG80" s="66">
        <v>506.67</v>
      </c>
      <c r="AH80" s="66">
        <v>506.78</v>
      </c>
      <c r="AI80" s="66">
        <v>506.83100000000002</v>
      </c>
      <c r="AJ80" s="66"/>
      <c r="AK80" s="66"/>
      <c r="AL80" s="72">
        <f>R80-P80</f>
        <v>-7.8000000000031378E-2</v>
      </c>
      <c r="AM80" s="72">
        <f>T80-R80</f>
        <v>0.21899999999999409</v>
      </c>
      <c r="AN80" s="72">
        <f>V80-T80</f>
        <v>-6.2000000000011823E-2</v>
      </c>
      <c r="AO80" s="72">
        <f t="shared" si="87"/>
        <v>4.9000000000035016E-2</v>
      </c>
      <c r="AP80" s="72">
        <f t="shared" si="78"/>
        <v>-0.21199999999998909</v>
      </c>
      <c r="AQ80" s="72">
        <f t="shared" si="89"/>
        <v>7.5999999999964984E-2</v>
      </c>
      <c r="AR80" s="72">
        <f t="shared" si="90"/>
        <v>6.2000000000011823E-2</v>
      </c>
      <c r="AS80" s="66">
        <f t="shared" si="91"/>
        <v>-0.11700000000001864</v>
      </c>
      <c r="AT80" s="111">
        <f t="shared" si="62"/>
        <v>1.0000000000331966E-3</v>
      </c>
      <c r="AU80" s="111">
        <f t="shared" si="84"/>
        <v>0.16100000000000136</v>
      </c>
      <c r="AV80" s="108">
        <f t="shared" si="85"/>
        <v>9.8999999999989548E-3</v>
      </c>
      <c r="AW80" s="71"/>
      <c r="AX80" s="71"/>
      <c r="AY80" s="72">
        <f>S80-Q80</f>
        <v>0.30400000000003047</v>
      </c>
      <c r="AZ80" s="72">
        <f>U80-S80</f>
        <v>-0.2580000000000382</v>
      </c>
      <c r="BA80" s="72">
        <f t="shared" si="88"/>
        <v>3.900000000004411E-2</v>
      </c>
      <c r="BB80" s="72">
        <f t="shared" si="76"/>
        <v>2.6999999999986812E-2</v>
      </c>
      <c r="BC80" s="72">
        <f t="shared" si="82"/>
        <v>-0.16500000000002046</v>
      </c>
      <c r="BD80" s="72">
        <f t="shared" si="92"/>
        <v>8.7500000000005684E-2</v>
      </c>
      <c r="BE80" s="72">
        <f t="shared" si="86"/>
        <v>-0.2529999999999859</v>
      </c>
      <c r="BF80" s="72">
        <f t="shared" si="59"/>
        <v>6.8999999999959982E-2</v>
      </c>
      <c r="BG80" s="72">
        <f t="shared" si="60"/>
        <v>-9.200000000001296E-2</v>
      </c>
      <c r="BH80" s="72">
        <f t="shared" si="81"/>
        <v>-6.8888888888902029E-3</v>
      </c>
    </row>
    <row r="81" spans="1:60" x14ac:dyDescent="0.25">
      <c r="A81" s="65" t="s">
        <v>104</v>
      </c>
      <c r="B81" s="66">
        <v>2172507.6869999999</v>
      </c>
      <c r="C81" s="66">
        <v>6031179.3470000001</v>
      </c>
      <c r="D81" s="66">
        <v>704.65800000000002</v>
      </c>
      <c r="E81" s="67" t="s">
        <v>105</v>
      </c>
      <c r="F81" s="68">
        <v>2013</v>
      </c>
      <c r="G81" s="66">
        <v>704.625</v>
      </c>
      <c r="H81" s="68">
        <v>2014</v>
      </c>
      <c r="I81" s="66">
        <v>704.49699999999996</v>
      </c>
      <c r="J81" s="68">
        <v>2023</v>
      </c>
      <c r="K81" s="149"/>
      <c r="L81" s="66"/>
      <c r="M81" s="66"/>
      <c r="N81" s="66"/>
      <c r="O81" s="66"/>
      <c r="P81" s="66">
        <v>704.625</v>
      </c>
      <c r="Q81" s="66">
        <v>704.49699999999996</v>
      </c>
      <c r="R81" s="66">
        <v>704.80899999999997</v>
      </c>
      <c r="S81" s="69">
        <v>704.64700000000005</v>
      </c>
      <c r="T81" s="66">
        <v>704.55899999999997</v>
      </c>
      <c r="U81" s="69">
        <v>704.75599999999997</v>
      </c>
      <c r="V81" s="66">
        <v>704.58799999999997</v>
      </c>
      <c r="W81" s="66">
        <v>704.71400000000006</v>
      </c>
      <c r="X81" s="66">
        <v>704.62</v>
      </c>
      <c r="Y81" s="66">
        <v>704.70899999999995</v>
      </c>
      <c r="Z81" s="66">
        <v>704.59799999999996</v>
      </c>
      <c r="AA81" s="66">
        <v>704.70600000000002</v>
      </c>
      <c r="AB81" s="66">
        <v>704.63800000000003</v>
      </c>
      <c r="AC81" s="70">
        <v>704.65200000000004</v>
      </c>
      <c r="AD81" s="66">
        <v>704.69299999999998</v>
      </c>
      <c r="AE81" s="66">
        <v>704.51599999999996</v>
      </c>
      <c r="AF81" s="66">
        <v>704.59100000000001</v>
      </c>
      <c r="AG81" s="66">
        <v>704.61900000000003</v>
      </c>
      <c r="AH81" s="66">
        <v>704.72</v>
      </c>
      <c r="AI81" s="66">
        <v>704.798</v>
      </c>
      <c r="AJ81" s="66"/>
      <c r="AK81" s="66"/>
      <c r="AL81" s="72">
        <f>R81-P81</f>
        <v>0.18399999999996908</v>
      </c>
      <c r="AM81" s="72">
        <f>T81-R81</f>
        <v>-0.25</v>
      </c>
      <c r="AN81" s="72">
        <f>V81-T81</f>
        <v>2.8999999999996362E-2</v>
      </c>
      <c r="AO81" s="72">
        <f t="shared" si="87"/>
        <v>3.2000000000039108E-2</v>
      </c>
      <c r="AP81" s="72">
        <f t="shared" si="78"/>
        <v>-2.2000000000048203E-2</v>
      </c>
      <c r="AQ81" s="72">
        <f t="shared" si="89"/>
        <v>4.0000000000077307E-2</v>
      </c>
      <c r="AR81" s="72">
        <f t="shared" si="90"/>
        <v>1.4000000000010004E-2</v>
      </c>
      <c r="AS81" s="66">
        <f t="shared" si="91"/>
        <v>-0.13600000000008095</v>
      </c>
      <c r="AT81" s="111">
        <f t="shared" si="62"/>
        <v>0.10300000000006548</v>
      </c>
      <c r="AU81" s="111">
        <f t="shared" si="84"/>
        <v>0.17899999999997362</v>
      </c>
      <c r="AV81" s="108">
        <f t="shared" si="85"/>
        <v>1.7300000000000183E-2</v>
      </c>
      <c r="AW81" s="71"/>
      <c r="AX81" s="71"/>
      <c r="AY81" s="72">
        <f>S81-Q81</f>
        <v>0.15000000000009095</v>
      </c>
      <c r="AZ81" s="72">
        <f>U81-S81</f>
        <v>0.1089999999999236</v>
      </c>
      <c r="BA81" s="72">
        <f t="shared" si="88"/>
        <v>-4.1999999999916326E-2</v>
      </c>
      <c r="BB81" s="72">
        <f t="shared" si="76"/>
        <v>-5.0000000001091394E-3</v>
      </c>
      <c r="BC81" s="72">
        <f t="shared" si="82"/>
        <v>-2.9999999999290594E-3</v>
      </c>
      <c r="BD81" s="72">
        <f t="shared" si="92"/>
        <v>-6.5000000000168257E-3</v>
      </c>
      <c r="BE81" s="72">
        <f t="shared" si="86"/>
        <v>-0.10199999999997544</v>
      </c>
      <c r="BF81" s="72">
        <f t="shared" si="59"/>
        <v>0.1290000000000191</v>
      </c>
      <c r="BG81" s="72">
        <f t="shared" si="60"/>
        <v>1.3500000000021828E-2</v>
      </c>
      <c r="BH81" s="72">
        <f t="shared" si="81"/>
        <v>2.4777777777785559E-2</v>
      </c>
    </row>
    <row r="82" spans="1:60" x14ac:dyDescent="0.25">
      <c r="A82" s="65" t="s">
        <v>106</v>
      </c>
      <c r="B82" s="66">
        <v>2082514.8160000001</v>
      </c>
      <c r="C82" s="66">
        <v>6102978.7829999998</v>
      </c>
      <c r="D82" s="66">
        <v>1103.6099999999999</v>
      </c>
      <c r="E82" s="67" t="s">
        <v>107</v>
      </c>
      <c r="F82" s="68">
        <v>2013</v>
      </c>
      <c r="G82" s="66">
        <v>1103.636</v>
      </c>
      <c r="H82" s="68">
        <v>2014</v>
      </c>
      <c r="I82" s="66">
        <v>1103.492</v>
      </c>
      <c r="J82" s="68">
        <v>2023</v>
      </c>
      <c r="K82" s="149"/>
      <c r="L82" s="66"/>
      <c r="M82" s="66"/>
      <c r="N82" s="66"/>
      <c r="O82" s="66"/>
      <c r="P82" s="66">
        <v>1103.636</v>
      </c>
      <c r="Q82" s="66">
        <v>1103.492</v>
      </c>
      <c r="R82" s="66">
        <v>1103.6320000000001</v>
      </c>
      <c r="S82" s="69">
        <v>1103.691</v>
      </c>
      <c r="T82" s="66">
        <v>1103.568</v>
      </c>
      <c r="U82" s="66">
        <v>1103.854</v>
      </c>
      <c r="V82" s="66">
        <v>1103.665</v>
      </c>
      <c r="W82" s="66">
        <v>1103.825</v>
      </c>
      <c r="X82" s="66">
        <v>1103.5999999999999</v>
      </c>
      <c r="Y82" s="66">
        <v>1103.7840000000001</v>
      </c>
      <c r="Z82" s="66">
        <v>1103.6600000000001</v>
      </c>
      <c r="AA82" s="66">
        <v>1103.7170000000001</v>
      </c>
      <c r="AB82" s="66"/>
      <c r="AC82" s="70">
        <v>1103.5889999999999</v>
      </c>
      <c r="AD82" s="66">
        <v>1103.75</v>
      </c>
      <c r="AE82" s="66">
        <v>1103.606</v>
      </c>
      <c r="AF82" s="66">
        <v>1103.5509999999999</v>
      </c>
      <c r="AG82" s="66">
        <v>1103.6020000000001</v>
      </c>
      <c r="AH82" s="66">
        <v>1103.818</v>
      </c>
      <c r="AI82" s="66">
        <v>1103.6790000000001</v>
      </c>
      <c r="AJ82" s="66"/>
      <c r="AK82" s="66"/>
      <c r="AL82" s="72">
        <f>R82-P82</f>
        <v>-3.9999999999054126E-3</v>
      </c>
      <c r="AM82" s="72">
        <f>T82-R82</f>
        <v>-6.4000000000078217E-2</v>
      </c>
      <c r="AN82" s="72">
        <f>V82-T82</f>
        <v>9.6999999999979991E-2</v>
      </c>
      <c r="AO82" s="72">
        <f t="shared" si="87"/>
        <v>-6.500000000005457E-2</v>
      </c>
      <c r="AP82" s="72">
        <f t="shared" si="78"/>
        <v>6.0000000000172804E-2</v>
      </c>
      <c r="AQ82" s="72"/>
      <c r="AR82" s="72"/>
      <c r="AS82" s="66">
        <f t="shared" si="91"/>
        <v>1.7000000000052751E-2</v>
      </c>
      <c r="AT82" s="111">
        <f t="shared" si="62"/>
        <v>-3.9999999999054126E-3</v>
      </c>
      <c r="AU82" s="111">
        <f t="shared" si="84"/>
        <v>7.6999999999998181E-2</v>
      </c>
      <c r="AV82" s="108">
        <f t="shared" si="85"/>
        <v>4.3000000000120052E-3</v>
      </c>
      <c r="AW82" s="71"/>
      <c r="AX82" s="71"/>
      <c r="AY82" s="72">
        <f>S82-Q82</f>
        <v>0.19900000000006912</v>
      </c>
      <c r="AZ82" s="72">
        <f>U82-S82</f>
        <v>0.16300000000001091</v>
      </c>
      <c r="BA82" s="72">
        <f t="shared" si="88"/>
        <v>-2.8999999999996362E-2</v>
      </c>
      <c r="BB82" s="72">
        <f t="shared" si="76"/>
        <v>-4.0999999999939973E-2</v>
      </c>
      <c r="BC82" s="72">
        <f t="shared" si="82"/>
        <v>-6.7000000000007276E-2</v>
      </c>
      <c r="BD82" s="72">
        <f t="shared" si="92"/>
        <v>1.6499999999950887E-2</v>
      </c>
      <c r="BE82" s="72">
        <f t="shared" si="86"/>
        <v>-0.19900000000006912</v>
      </c>
      <c r="BF82" s="72">
        <f t="shared" si="59"/>
        <v>0.26700000000005275</v>
      </c>
      <c r="BG82" s="72">
        <f t="shared" si="60"/>
        <v>3.3999999999991815E-2</v>
      </c>
      <c r="BH82" s="72">
        <f t="shared" si="81"/>
        <v>3.6222222222224647E-2</v>
      </c>
    </row>
    <row r="83" spans="1:60" x14ac:dyDescent="0.25">
      <c r="A83" s="65" t="s">
        <v>108</v>
      </c>
      <c r="B83" s="66">
        <v>2343309.1680000001</v>
      </c>
      <c r="C83" s="66">
        <v>5956829.3830000004</v>
      </c>
      <c r="D83" s="66">
        <v>183.56200000000001</v>
      </c>
      <c r="E83" s="67" t="s">
        <v>109</v>
      </c>
      <c r="F83" s="68">
        <v>2013</v>
      </c>
      <c r="G83" s="66">
        <v>183.255</v>
      </c>
      <c r="H83" s="68">
        <v>2014</v>
      </c>
      <c r="I83" s="66">
        <v>183.477</v>
      </c>
      <c r="J83" s="68">
        <v>2023</v>
      </c>
      <c r="K83" s="150"/>
      <c r="L83" s="66"/>
      <c r="M83" s="66"/>
      <c r="N83" s="66"/>
      <c r="O83" s="66"/>
      <c r="P83" s="66">
        <v>183.255</v>
      </c>
      <c r="Q83" s="66">
        <v>183.477</v>
      </c>
      <c r="R83" s="66">
        <v>183.39099999999999</v>
      </c>
      <c r="S83" s="69">
        <v>183.34</v>
      </c>
      <c r="T83" s="66">
        <v>183.29400000000001</v>
      </c>
      <c r="U83" s="69">
        <v>183.19499999999999</v>
      </c>
      <c r="V83" s="66"/>
      <c r="W83" s="66">
        <v>183.32400000000001</v>
      </c>
      <c r="X83" s="66">
        <v>183.31</v>
      </c>
      <c r="Y83" s="66">
        <v>183.137</v>
      </c>
      <c r="Z83" s="66">
        <v>183.262</v>
      </c>
      <c r="AA83" s="66">
        <v>183.184</v>
      </c>
      <c r="AB83" s="66">
        <v>183.285</v>
      </c>
      <c r="AC83" s="70">
        <v>183.184</v>
      </c>
      <c r="AD83" s="66">
        <v>183.19300000000001</v>
      </c>
      <c r="AE83" s="66">
        <v>183.155</v>
      </c>
      <c r="AF83" s="66">
        <v>183.215</v>
      </c>
      <c r="AG83" s="66">
        <v>183.16499999999999</v>
      </c>
      <c r="AH83" s="66">
        <v>183.18100000000001</v>
      </c>
      <c r="AI83" s="66">
        <v>183.352</v>
      </c>
      <c r="AJ83" s="66"/>
      <c r="AK83" s="66"/>
      <c r="AL83" s="72">
        <f>R83-P83</f>
        <v>0.13599999999999568</v>
      </c>
      <c r="AM83" s="72">
        <f>T83-R83</f>
        <v>-9.6999999999979991E-2</v>
      </c>
      <c r="AN83" s="72"/>
      <c r="AO83" s="72" t="s">
        <v>21</v>
      </c>
      <c r="AP83" s="72">
        <f t="shared" si="78"/>
        <v>-4.8000000000001819E-2</v>
      </c>
      <c r="AQ83" s="72">
        <f>AB83-Z83</f>
        <v>2.2999999999996135E-2</v>
      </c>
      <c r="AR83" s="72">
        <f>AC83-AB83</f>
        <v>-0.10099999999999909</v>
      </c>
      <c r="AS83" s="66">
        <f t="shared" si="91"/>
        <v>-2.8999999999996362E-2</v>
      </c>
      <c r="AT83" s="111">
        <f t="shared" si="62"/>
        <v>9.9999999999909051E-3</v>
      </c>
      <c r="AU83" s="111">
        <f t="shared" si="84"/>
        <v>0.18700000000001182</v>
      </c>
      <c r="AV83" s="108">
        <f t="shared" si="85"/>
        <v>9.7000000000008416E-3</v>
      </c>
      <c r="AW83" s="71"/>
      <c r="AX83" s="71"/>
      <c r="AY83" s="72">
        <f>S83-Q83</f>
        <v>-0.13700000000000045</v>
      </c>
      <c r="AZ83" s="72">
        <f>U83-S83</f>
        <v>-0.14500000000001023</v>
      </c>
      <c r="BA83" s="72">
        <f t="shared" si="88"/>
        <v>0.1290000000000191</v>
      </c>
      <c r="BB83" s="72">
        <f t="shared" si="76"/>
        <v>-0.18700000000001182</v>
      </c>
      <c r="BC83" s="72">
        <f t="shared" si="82"/>
        <v>4.6999999999997044E-2</v>
      </c>
      <c r="BD83" s="72">
        <f t="shared" si="92"/>
        <v>4.500000000007276E-3</v>
      </c>
      <c r="BE83" s="72">
        <f t="shared" si="86"/>
        <v>2.199999999999136E-2</v>
      </c>
      <c r="BF83" s="72">
        <f t="shared" si="59"/>
        <v>-3.3999999999991815E-2</v>
      </c>
      <c r="BG83" s="72">
        <f t="shared" si="60"/>
        <v>-6.0000000000002274E-3</v>
      </c>
      <c r="BH83" s="72">
        <f t="shared" si="81"/>
        <v>-3.2888888888888031E-2</v>
      </c>
    </row>
    <row r="84" spans="1:60" s="75" customFormat="1" x14ac:dyDescent="0.25">
      <c r="A84" s="76"/>
      <c r="E84" s="88"/>
      <c r="F84" s="88"/>
      <c r="G84" s="88"/>
      <c r="H84" s="88"/>
      <c r="I84" s="88"/>
      <c r="J84" s="88"/>
      <c r="AT84" s="112"/>
      <c r="AU84" s="112"/>
      <c r="AV84" s="4"/>
    </row>
    <row r="85" spans="1:60" s="75" customFormat="1" x14ac:dyDescent="0.25">
      <c r="A85" s="6">
        <v>-0.15</v>
      </c>
      <c r="B85" s="75" t="s">
        <v>110</v>
      </c>
      <c r="AT85" s="112"/>
      <c r="AU85" s="112"/>
      <c r="AV85" s="4"/>
    </row>
    <row r="86" spans="1:60" s="75" customFormat="1" x14ac:dyDescent="0.25">
      <c r="A86" s="2"/>
      <c r="E86" s="88"/>
      <c r="F86" s="88"/>
      <c r="G86" s="88"/>
      <c r="H86" s="88"/>
      <c r="I86" s="88"/>
      <c r="J86" s="88"/>
      <c r="AT86" s="112"/>
      <c r="AU86" s="112"/>
      <c r="AV86" s="4"/>
      <c r="BG86" s="76"/>
      <c r="BH86" s="76"/>
    </row>
    <row r="87" spans="1:60" s="75" customFormat="1" x14ac:dyDescent="0.25">
      <c r="A87" s="130"/>
      <c r="B87" s="75" t="s">
        <v>111</v>
      </c>
      <c r="AT87" s="112"/>
      <c r="AU87" s="112"/>
      <c r="AV87" s="4"/>
      <c r="AW87" s="89"/>
      <c r="AX87" s="89"/>
      <c r="AY87" s="89"/>
      <c r="AZ87" s="89"/>
      <c r="BA87" s="89"/>
      <c r="BB87" s="89"/>
      <c r="BC87" s="89"/>
      <c r="BD87" s="89"/>
      <c r="BE87" s="89"/>
      <c r="BF87" s="89"/>
    </row>
    <row r="88" spans="1:60" s="75" customFormat="1" x14ac:dyDescent="0.25">
      <c r="A88" s="2"/>
      <c r="B88" s="88" t="s">
        <v>112</v>
      </c>
      <c r="AT88" s="112"/>
      <c r="AU88" s="112"/>
      <c r="AV88" s="4"/>
    </row>
    <row r="89" spans="1:60" s="75" customFormat="1" x14ac:dyDescent="0.25">
      <c r="A89" s="2"/>
      <c r="B89" s="88" t="s">
        <v>113</v>
      </c>
      <c r="AT89" s="112"/>
      <c r="AU89" s="112"/>
      <c r="AV89" s="4"/>
    </row>
    <row r="90" spans="1:60" s="75" customFormat="1" x14ac:dyDescent="0.25">
      <c r="A90" s="2"/>
      <c r="B90" s="88" t="s">
        <v>114</v>
      </c>
      <c r="AT90" s="112"/>
      <c r="AU90" s="112"/>
      <c r="AV90" s="4"/>
    </row>
    <row r="91" spans="1:60" s="75" customFormat="1" x14ac:dyDescent="0.25">
      <c r="A91" s="2"/>
      <c r="B91" s="88" t="s">
        <v>115</v>
      </c>
      <c r="AT91" s="112"/>
      <c r="AU91" s="112"/>
      <c r="AV91" s="4"/>
    </row>
    <row r="92" spans="1:60" s="75" customFormat="1" x14ac:dyDescent="0.25">
      <c r="A92" s="2"/>
      <c r="B92" s="88" t="s">
        <v>116</v>
      </c>
      <c r="AT92" s="112"/>
      <c r="AU92" s="112"/>
      <c r="AV92" s="4"/>
    </row>
    <row r="93" spans="1:60" s="75" customFormat="1" x14ac:dyDescent="0.25">
      <c r="A93" s="2"/>
      <c r="B93" s="88" t="s">
        <v>131</v>
      </c>
      <c r="AT93" s="112"/>
      <c r="AU93" s="112"/>
      <c r="AV93" s="4"/>
    </row>
    <row r="94" spans="1:60" s="75" customFormat="1" x14ac:dyDescent="0.25">
      <c r="A94" s="2"/>
      <c r="E94" s="88"/>
      <c r="F94" s="88"/>
      <c r="G94" s="88"/>
      <c r="H94" s="88"/>
      <c r="I94" s="88"/>
      <c r="J94" s="88"/>
      <c r="AT94" s="112"/>
      <c r="AU94" s="112"/>
      <c r="AV94" s="4"/>
    </row>
    <row r="95" spans="1:60" s="75" customFormat="1" x14ac:dyDescent="0.25">
      <c r="A95" s="41"/>
      <c r="B95" s="88" t="s">
        <v>117</v>
      </c>
      <c r="E95" s="88"/>
      <c r="F95" s="88"/>
      <c r="G95" s="88"/>
      <c r="H95" s="88"/>
      <c r="I95" s="88"/>
      <c r="J95" s="88"/>
      <c r="AT95" s="112"/>
      <c r="AU95" s="112"/>
      <c r="AV95" s="4"/>
    </row>
    <row r="96" spans="1:60" s="75" customFormat="1" x14ac:dyDescent="0.25">
      <c r="A96" s="2"/>
      <c r="E96" s="88"/>
      <c r="F96" s="88"/>
      <c r="G96" s="88"/>
      <c r="H96" s="88"/>
      <c r="I96" s="88"/>
      <c r="J96" s="88"/>
      <c r="AT96" s="112"/>
      <c r="AU96" s="112"/>
      <c r="AV96" s="4"/>
    </row>
    <row r="97" spans="1:48" s="75" customFormat="1" x14ac:dyDescent="0.25">
      <c r="A97" s="57"/>
      <c r="B97" s="88" t="s">
        <v>135</v>
      </c>
      <c r="E97" s="88"/>
      <c r="F97" s="88"/>
      <c r="G97" s="88"/>
      <c r="H97" s="88"/>
      <c r="I97" s="88"/>
      <c r="J97" s="88"/>
      <c r="AT97" s="112"/>
      <c r="AU97" s="112"/>
      <c r="AV97" s="4"/>
    </row>
    <row r="98" spans="1:48" s="75" customFormat="1" x14ac:dyDescent="0.25">
      <c r="A98" s="2"/>
      <c r="E98" s="88"/>
      <c r="F98" s="88"/>
      <c r="G98" s="88"/>
      <c r="H98" s="88"/>
      <c r="I98" s="88"/>
      <c r="J98" s="88"/>
      <c r="AT98" s="112"/>
      <c r="AU98" s="112"/>
      <c r="AV98" s="4"/>
    </row>
    <row r="99" spans="1:48" s="75" customFormat="1" x14ac:dyDescent="0.25">
      <c r="A99" s="107" t="s">
        <v>118</v>
      </c>
      <c r="B99" s="75" t="s">
        <v>119</v>
      </c>
      <c r="E99" s="88"/>
      <c r="F99" s="88"/>
      <c r="G99" s="88"/>
      <c r="H99" s="88"/>
      <c r="I99" s="88"/>
      <c r="J99" s="88"/>
      <c r="AT99" s="112"/>
      <c r="AU99" s="112"/>
      <c r="AV99" s="4"/>
    </row>
    <row r="100" spans="1:48" s="75" customFormat="1" x14ac:dyDescent="0.25">
      <c r="A100" s="76"/>
      <c r="E100" s="88"/>
      <c r="F100" s="88"/>
      <c r="G100" s="88"/>
      <c r="H100" s="88"/>
      <c r="I100" s="88"/>
      <c r="J100" s="88"/>
      <c r="AT100" s="112"/>
      <c r="AU100" s="112"/>
      <c r="AV100" s="4"/>
    </row>
    <row r="101" spans="1:48" s="75" customFormat="1" x14ac:dyDescent="0.25">
      <c r="A101" s="76"/>
      <c r="E101" s="88"/>
      <c r="F101" s="88"/>
      <c r="G101" s="88"/>
      <c r="H101" s="88"/>
      <c r="I101" s="88"/>
      <c r="J101" s="88"/>
      <c r="AT101" s="112"/>
      <c r="AU101" s="112"/>
      <c r="AV101" s="4"/>
    </row>
    <row r="102" spans="1:48" s="75" customFormat="1" x14ac:dyDescent="0.25">
      <c r="A102" s="76"/>
      <c r="E102" s="88"/>
      <c r="F102" s="88"/>
      <c r="G102" s="88"/>
      <c r="H102" s="88"/>
      <c r="I102" s="88"/>
      <c r="J102" s="88"/>
      <c r="AT102" s="112"/>
      <c r="AU102" s="112"/>
      <c r="AV102" s="4"/>
    </row>
    <row r="103" spans="1:48" s="75" customFormat="1" x14ac:dyDescent="0.25">
      <c r="A103" s="76"/>
      <c r="E103" s="88"/>
      <c r="F103" s="88"/>
      <c r="G103" s="88"/>
      <c r="H103" s="88"/>
      <c r="I103" s="88"/>
      <c r="J103" s="88"/>
      <c r="AT103" s="112"/>
      <c r="AU103" s="112"/>
      <c r="AV103" s="4"/>
    </row>
    <row r="104" spans="1:48" s="75" customFormat="1" x14ac:dyDescent="0.25">
      <c r="A104" s="76"/>
      <c r="E104" s="88"/>
      <c r="F104" s="88"/>
      <c r="G104" s="88"/>
      <c r="H104" s="88"/>
      <c r="I104" s="88"/>
      <c r="J104" s="88"/>
      <c r="AT104" s="112"/>
      <c r="AU104" s="112"/>
      <c r="AV104" s="4"/>
    </row>
    <row r="105" spans="1:48" s="75" customFormat="1" x14ac:dyDescent="0.25">
      <c r="A105" s="76"/>
      <c r="E105" s="88"/>
      <c r="F105" s="88"/>
      <c r="G105" s="88"/>
      <c r="H105" s="88"/>
      <c r="I105" s="88"/>
      <c r="J105" s="88"/>
      <c r="AT105" s="112"/>
      <c r="AU105" s="112"/>
      <c r="AV105" s="4"/>
    </row>
    <row r="106" spans="1:48" s="75" customFormat="1" x14ac:dyDescent="0.25">
      <c r="A106" s="76"/>
      <c r="E106" s="88"/>
      <c r="F106" s="88"/>
      <c r="G106" s="88"/>
      <c r="H106" s="88"/>
      <c r="I106" s="88"/>
      <c r="J106" s="88"/>
      <c r="AT106" s="112"/>
      <c r="AU106" s="112"/>
      <c r="AV106" s="4"/>
    </row>
    <row r="107" spans="1:48" s="75" customFormat="1" x14ac:dyDescent="0.25">
      <c r="A107" s="76"/>
      <c r="E107" s="88"/>
      <c r="F107" s="88"/>
      <c r="G107" s="88"/>
      <c r="H107" s="88"/>
      <c r="I107" s="88"/>
      <c r="J107" s="88"/>
      <c r="AT107" s="112"/>
      <c r="AU107" s="112"/>
      <c r="AV107" s="4"/>
    </row>
    <row r="108" spans="1:48" s="75" customFormat="1" x14ac:dyDescent="0.25">
      <c r="A108" s="76"/>
      <c r="E108" s="88"/>
      <c r="F108" s="88"/>
      <c r="G108" s="88"/>
      <c r="H108" s="88"/>
      <c r="I108" s="88"/>
      <c r="J108" s="88"/>
      <c r="AT108" s="112"/>
      <c r="AU108" s="112"/>
      <c r="AV108" s="4"/>
    </row>
    <row r="109" spans="1:48" s="75" customFormat="1" x14ac:dyDescent="0.25">
      <c r="A109" s="76"/>
      <c r="E109" s="88"/>
      <c r="F109" s="88"/>
      <c r="G109" s="88"/>
      <c r="H109" s="88"/>
      <c r="I109" s="88"/>
      <c r="J109" s="88"/>
      <c r="AT109" s="112"/>
      <c r="AU109" s="112"/>
      <c r="AV109" s="4"/>
    </row>
    <row r="110" spans="1:48" s="75" customFormat="1" x14ac:dyDescent="0.25">
      <c r="A110" s="76"/>
      <c r="E110" s="88"/>
      <c r="F110" s="88"/>
      <c r="G110" s="88"/>
      <c r="H110" s="88"/>
      <c r="I110" s="88"/>
      <c r="J110" s="88"/>
      <c r="AT110" s="112"/>
      <c r="AU110" s="112"/>
      <c r="AV110" s="4"/>
    </row>
    <row r="111" spans="1:48" s="75" customFormat="1" x14ac:dyDescent="0.25">
      <c r="A111" s="76"/>
      <c r="E111" s="88"/>
      <c r="F111" s="88"/>
      <c r="G111" s="88"/>
      <c r="H111" s="88"/>
      <c r="I111" s="88"/>
      <c r="J111" s="88"/>
      <c r="AT111" s="112"/>
      <c r="AU111" s="112"/>
      <c r="AV111" s="4"/>
    </row>
    <row r="112" spans="1:48" s="75" customFormat="1" x14ac:dyDescent="0.25">
      <c r="A112" s="76"/>
      <c r="E112" s="88"/>
      <c r="F112" s="88"/>
      <c r="G112" s="88"/>
      <c r="H112" s="88"/>
      <c r="I112" s="88"/>
      <c r="J112" s="88"/>
      <c r="AT112" s="112"/>
      <c r="AU112" s="112"/>
      <c r="AV112" s="4"/>
    </row>
    <row r="113" spans="1:59" s="75" customFormat="1" x14ac:dyDescent="0.25">
      <c r="A113" s="76"/>
      <c r="E113" s="88"/>
      <c r="F113" s="88"/>
      <c r="G113" s="88"/>
      <c r="H113" s="88"/>
      <c r="I113" s="88"/>
      <c r="J113" s="88"/>
      <c r="AT113" s="112"/>
      <c r="AU113" s="112"/>
      <c r="AV113" s="4"/>
    </row>
    <row r="114" spans="1:59" s="75" customFormat="1" x14ac:dyDescent="0.25">
      <c r="A114" s="76"/>
      <c r="E114" s="88"/>
      <c r="F114" s="88"/>
      <c r="G114" s="88"/>
      <c r="H114" s="88"/>
      <c r="I114" s="88"/>
      <c r="J114" s="88"/>
      <c r="AT114" s="112"/>
      <c r="AU114" s="112"/>
      <c r="AV114" s="4"/>
    </row>
    <row r="115" spans="1:59" s="75" customFormat="1" x14ac:dyDescent="0.25">
      <c r="A115" s="76"/>
      <c r="E115" s="88"/>
      <c r="F115" s="88"/>
      <c r="G115" s="88"/>
      <c r="H115" s="88"/>
      <c r="I115" s="88"/>
      <c r="J115" s="88"/>
      <c r="AT115" s="112"/>
      <c r="AU115" s="112"/>
      <c r="AV115" s="4"/>
    </row>
    <row r="116" spans="1:59" s="75" customFormat="1" x14ac:dyDescent="0.25">
      <c r="A116" s="76"/>
      <c r="E116" s="88"/>
      <c r="F116" s="88"/>
      <c r="G116" s="88"/>
      <c r="H116" s="88"/>
      <c r="I116" s="88"/>
      <c r="J116" s="88"/>
      <c r="AT116" s="112"/>
      <c r="AU116" s="112"/>
      <c r="AV116" s="4"/>
    </row>
    <row r="117" spans="1:59" s="75" customFormat="1" x14ac:dyDescent="0.25">
      <c r="A117" s="76"/>
      <c r="E117" s="88"/>
      <c r="F117" s="88"/>
      <c r="G117" s="88"/>
      <c r="H117" s="88"/>
      <c r="I117" s="88"/>
      <c r="J117" s="88"/>
      <c r="AT117" s="112"/>
      <c r="AU117" s="112"/>
      <c r="AV117" s="4"/>
    </row>
    <row r="118" spans="1:59" s="75" customFormat="1" x14ac:dyDescent="0.25">
      <c r="A118" s="76"/>
      <c r="E118" s="88"/>
      <c r="F118" s="88"/>
      <c r="G118" s="88"/>
      <c r="H118" s="88"/>
      <c r="I118" s="88"/>
      <c r="J118" s="88"/>
      <c r="AT118" s="112"/>
      <c r="AU118" s="112"/>
      <c r="AV118" s="4"/>
    </row>
    <row r="119" spans="1:59" s="75" customFormat="1" x14ac:dyDescent="0.25">
      <c r="A119" s="76"/>
      <c r="E119" s="88"/>
      <c r="F119" s="88"/>
      <c r="G119" s="88"/>
      <c r="H119" s="88"/>
      <c r="I119" s="88"/>
      <c r="J119" s="88"/>
      <c r="AT119" s="112"/>
      <c r="AU119" s="112"/>
      <c r="AV119" s="4"/>
    </row>
    <row r="120" spans="1:59" s="75" customFormat="1" x14ac:dyDescent="0.25">
      <c r="A120" s="76"/>
      <c r="E120" s="88"/>
      <c r="F120" s="88"/>
      <c r="G120" s="88"/>
      <c r="H120" s="88"/>
      <c r="I120" s="88"/>
      <c r="J120" s="88"/>
      <c r="AT120" s="112"/>
      <c r="AU120" s="112"/>
      <c r="AV120" s="4"/>
    </row>
    <row r="121" spans="1:59" s="75" customFormat="1" x14ac:dyDescent="0.25">
      <c r="A121" s="76"/>
      <c r="E121" s="88"/>
      <c r="F121" s="88"/>
      <c r="G121" s="88"/>
      <c r="H121" s="88"/>
      <c r="I121" s="88"/>
      <c r="J121" s="88"/>
      <c r="AT121" s="112"/>
      <c r="AU121" s="112"/>
      <c r="AV121" s="4"/>
      <c r="BG121" s="76"/>
    </row>
    <row r="122" spans="1:59" s="75" customFormat="1" x14ac:dyDescent="0.25">
      <c r="A122" s="76"/>
      <c r="E122" s="88"/>
      <c r="F122" s="88"/>
      <c r="G122" s="88"/>
      <c r="H122" s="88"/>
      <c r="I122" s="88"/>
      <c r="J122" s="88"/>
      <c r="AT122" s="112"/>
      <c r="AU122" s="112"/>
      <c r="AV122" s="4"/>
      <c r="BG122" s="76"/>
    </row>
    <row r="123" spans="1:59" s="75" customFormat="1" x14ac:dyDescent="0.25">
      <c r="A123" s="76"/>
      <c r="E123" s="88"/>
      <c r="F123" s="88"/>
      <c r="G123" s="88"/>
      <c r="H123" s="88"/>
      <c r="I123" s="88"/>
      <c r="J123" s="88"/>
      <c r="AT123" s="112"/>
      <c r="AU123" s="112"/>
      <c r="AV123" s="4"/>
      <c r="BG123" s="76"/>
    </row>
    <row r="124" spans="1:59" s="75" customFormat="1" x14ac:dyDescent="0.25">
      <c r="A124" s="76"/>
      <c r="E124" s="88"/>
      <c r="F124" s="88"/>
      <c r="G124" s="88"/>
      <c r="H124" s="88"/>
      <c r="I124" s="88"/>
      <c r="J124" s="88"/>
      <c r="AT124" s="112"/>
      <c r="AU124" s="112"/>
      <c r="AV124" s="4"/>
      <c r="BG124" s="76"/>
    </row>
    <row r="125" spans="1:59" s="75" customFormat="1" x14ac:dyDescent="0.25">
      <c r="A125" s="76"/>
      <c r="E125" s="88"/>
      <c r="F125" s="88"/>
      <c r="G125" s="88"/>
      <c r="H125" s="88"/>
      <c r="I125" s="88"/>
      <c r="J125" s="88"/>
      <c r="AT125" s="112"/>
      <c r="AU125" s="112"/>
      <c r="AV125" s="4"/>
      <c r="BG125" s="76"/>
    </row>
    <row r="126" spans="1:59" s="75" customFormat="1" x14ac:dyDescent="0.25">
      <c r="A126" s="76"/>
      <c r="E126" s="88"/>
      <c r="F126" s="88"/>
      <c r="G126" s="88"/>
      <c r="H126" s="88"/>
      <c r="I126" s="88"/>
      <c r="J126" s="88"/>
      <c r="AT126" s="112"/>
      <c r="AU126" s="112"/>
      <c r="AV126" s="4"/>
      <c r="BG126" s="76"/>
    </row>
    <row r="127" spans="1:59" s="75" customFormat="1" x14ac:dyDescent="0.25">
      <c r="A127" s="76"/>
      <c r="E127" s="88"/>
      <c r="F127" s="88"/>
      <c r="G127" s="88"/>
      <c r="H127" s="88"/>
      <c r="I127" s="88"/>
      <c r="J127" s="88"/>
      <c r="AT127" s="112"/>
      <c r="AU127" s="112"/>
      <c r="AV127" s="4"/>
      <c r="BG127" s="76"/>
    </row>
    <row r="128" spans="1:59" s="75" customFormat="1" x14ac:dyDescent="0.25">
      <c r="A128" s="76"/>
      <c r="E128" s="88"/>
      <c r="F128" s="88"/>
      <c r="G128" s="88"/>
      <c r="H128" s="88"/>
      <c r="I128" s="88"/>
      <c r="J128" s="88"/>
      <c r="AT128" s="112"/>
      <c r="AU128" s="112"/>
      <c r="AV128" s="4"/>
      <c r="BG128" s="76"/>
    </row>
    <row r="129" spans="1:59" s="75" customFormat="1" x14ac:dyDescent="0.25">
      <c r="A129" s="76"/>
      <c r="E129" s="88"/>
      <c r="F129" s="88"/>
      <c r="G129" s="88"/>
      <c r="H129" s="88"/>
      <c r="I129" s="88"/>
      <c r="J129" s="88"/>
      <c r="AT129" s="112"/>
      <c r="AU129" s="112"/>
      <c r="AV129" s="4"/>
      <c r="BG129" s="76"/>
    </row>
    <row r="130" spans="1:59" s="75" customFormat="1" x14ac:dyDescent="0.25">
      <c r="A130" s="76"/>
      <c r="E130" s="88"/>
      <c r="F130" s="88"/>
      <c r="G130" s="88"/>
      <c r="H130" s="88"/>
      <c r="I130" s="88"/>
      <c r="J130" s="88"/>
      <c r="AT130" s="112"/>
      <c r="AU130" s="112"/>
      <c r="AV130" s="4"/>
      <c r="BG130" s="76"/>
    </row>
    <row r="131" spans="1:59" s="75" customFormat="1" x14ac:dyDescent="0.25">
      <c r="A131" s="76"/>
      <c r="E131" s="88"/>
      <c r="F131" s="88"/>
      <c r="G131" s="88"/>
      <c r="H131" s="88"/>
      <c r="I131" s="88"/>
      <c r="J131" s="88"/>
      <c r="AT131" s="112"/>
      <c r="AU131" s="112"/>
      <c r="AV131" s="4"/>
      <c r="BG131" s="76"/>
    </row>
    <row r="132" spans="1:59" s="75" customFormat="1" x14ac:dyDescent="0.25">
      <c r="A132" s="76"/>
      <c r="E132" s="88"/>
      <c r="F132" s="88"/>
      <c r="G132" s="88"/>
      <c r="H132" s="88"/>
      <c r="I132" s="88"/>
      <c r="J132" s="88"/>
      <c r="AT132" s="112"/>
      <c r="AU132" s="112"/>
      <c r="AV132" s="4"/>
      <c r="BG132" s="76"/>
    </row>
    <row r="133" spans="1:59" s="75" customFormat="1" x14ac:dyDescent="0.25">
      <c r="A133" s="76"/>
      <c r="E133" s="88"/>
      <c r="F133" s="88"/>
      <c r="G133" s="88"/>
      <c r="H133" s="88"/>
      <c r="I133" s="88"/>
      <c r="J133" s="88"/>
      <c r="AT133" s="112"/>
      <c r="AU133" s="112"/>
      <c r="AV133" s="4"/>
      <c r="BG133" s="76"/>
    </row>
    <row r="134" spans="1:59" s="75" customFormat="1" x14ac:dyDescent="0.25">
      <c r="A134" s="76"/>
      <c r="E134" s="88"/>
      <c r="F134" s="88"/>
      <c r="G134" s="88"/>
      <c r="H134" s="88"/>
      <c r="I134" s="88"/>
      <c r="J134" s="88"/>
      <c r="AT134" s="112"/>
      <c r="AU134" s="112"/>
      <c r="AV134" s="4"/>
      <c r="BG134" s="76"/>
    </row>
    <row r="135" spans="1:59" s="75" customFormat="1" x14ac:dyDescent="0.25">
      <c r="A135" s="76"/>
      <c r="E135" s="88"/>
      <c r="F135" s="88"/>
      <c r="G135" s="88"/>
      <c r="H135" s="88"/>
      <c r="I135" s="88"/>
      <c r="J135" s="88"/>
      <c r="AT135" s="112"/>
      <c r="AU135" s="112"/>
      <c r="AV135" s="4"/>
      <c r="BG135" s="76"/>
    </row>
    <row r="136" spans="1:59" s="75" customFormat="1" x14ac:dyDescent="0.25">
      <c r="A136" s="76"/>
      <c r="E136" s="88"/>
      <c r="F136" s="88"/>
      <c r="G136" s="88"/>
      <c r="H136" s="88"/>
      <c r="I136" s="88"/>
      <c r="J136" s="88"/>
      <c r="AT136" s="112"/>
      <c r="AU136" s="112"/>
      <c r="AV136" s="4"/>
      <c r="BG136" s="76"/>
    </row>
    <row r="137" spans="1:59" s="75" customFormat="1" x14ac:dyDescent="0.25">
      <c r="A137" s="76"/>
      <c r="E137" s="88"/>
      <c r="F137" s="88"/>
      <c r="G137" s="88"/>
      <c r="H137" s="88"/>
      <c r="I137" s="88"/>
      <c r="J137" s="88"/>
      <c r="AT137" s="112"/>
      <c r="AU137" s="112"/>
      <c r="AV137" s="4"/>
      <c r="BG137" s="76"/>
    </row>
    <row r="138" spans="1:59" s="75" customFormat="1" x14ac:dyDescent="0.25">
      <c r="A138" s="76"/>
      <c r="E138" s="88"/>
      <c r="F138" s="88"/>
      <c r="G138" s="88"/>
      <c r="H138" s="88"/>
      <c r="I138" s="88"/>
      <c r="J138" s="88"/>
      <c r="AT138" s="112"/>
      <c r="AU138" s="112"/>
      <c r="AV138" s="4"/>
      <c r="BG138" s="76"/>
    </row>
    <row r="139" spans="1:59" s="75" customFormat="1" x14ac:dyDescent="0.25">
      <c r="A139" s="76"/>
      <c r="E139" s="88"/>
      <c r="F139" s="88"/>
      <c r="G139" s="88"/>
      <c r="H139" s="88"/>
      <c r="I139" s="88"/>
      <c r="J139" s="88"/>
      <c r="AT139" s="112"/>
      <c r="AU139" s="112"/>
      <c r="AV139" s="4"/>
      <c r="BG139" s="76"/>
    </row>
    <row r="140" spans="1:59" s="75" customFormat="1" x14ac:dyDescent="0.25">
      <c r="A140" s="76"/>
      <c r="E140" s="88"/>
      <c r="F140" s="88"/>
      <c r="G140" s="88"/>
      <c r="H140" s="88"/>
      <c r="I140" s="88"/>
      <c r="J140" s="88"/>
      <c r="AT140" s="112"/>
      <c r="AU140" s="112"/>
      <c r="AV140" s="4"/>
      <c r="BG140" s="76"/>
    </row>
    <row r="141" spans="1:59" s="75" customFormat="1" x14ac:dyDescent="0.25">
      <c r="A141" s="76"/>
      <c r="E141" s="88"/>
      <c r="F141" s="88"/>
      <c r="G141" s="88"/>
      <c r="H141" s="88"/>
      <c r="I141" s="88"/>
      <c r="J141" s="88"/>
      <c r="AT141" s="112"/>
      <c r="AU141" s="112"/>
      <c r="AV141" s="4"/>
      <c r="BG141" s="76"/>
    </row>
    <row r="142" spans="1:59" s="75" customFormat="1" x14ac:dyDescent="0.25">
      <c r="A142" s="76"/>
      <c r="E142" s="88"/>
      <c r="F142" s="88"/>
      <c r="G142" s="88"/>
      <c r="H142" s="88"/>
      <c r="I142" s="88"/>
      <c r="J142" s="88"/>
      <c r="AT142" s="112"/>
      <c r="AU142" s="112"/>
      <c r="AV142" s="4"/>
      <c r="BG142" s="76"/>
    </row>
    <row r="143" spans="1:59" s="75" customFormat="1" x14ac:dyDescent="0.25">
      <c r="A143" s="76"/>
      <c r="E143" s="88"/>
      <c r="F143" s="88"/>
      <c r="G143" s="88"/>
      <c r="H143" s="88"/>
      <c r="I143" s="88"/>
      <c r="J143" s="88"/>
      <c r="AT143" s="112"/>
      <c r="AU143" s="112"/>
      <c r="AV143" s="4"/>
      <c r="BG143" s="76"/>
    </row>
    <row r="144" spans="1:59" s="75" customFormat="1" x14ac:dyDescent="0.25">
      <c r="A144" s="76"/>
      <c r="E144" s="88"/>
      <c r="F144" s="88"/>
      <c r="G144" s="88"/>
      <c r="H144" s="88"/>
      <c r="I144" s="88"/>
      <c r="J144" s="88"/>
      <c r="AT144" s="112"/>
      <c r="AU144" s="112"/>
      <c r="AV144" s="4"/>
      <c r="BG144" s="76"/>
    </row>
    <row r="145" spans="1:59" s="75" customFormat="1" x14ac:dyDescent="0.25">
      <c r="A145" s="76"/>
      <c r="E145" s="88"/>
      <c r="F145" s="88"/>
      <c r="G145" s="88"/>
      <c r="H145" s="88"/>
      <c r="I145" s="88"/>
      <c r="J145" s="88"/>
      <c r="AT145" s="112"/>
      <c r="AU145" s="112"/>
      <c r="AV145" s="4"/>
      <c r="BG145" s="76"/>
    </row>
    <row r="146" spans="1:59" s="75" customFormat="1" x14ac:dyDescent="0.25">
      <c r="A146" s="76"/>
      <c r="E146" s="88"/>
      <c r="F146" s="88"/>
      <c r="G146" s="88"/>
      <c r="H146" s="88"/>
      <c r="I146" s="88"/>
      <c r="J146" s="88"/>
      <c r="AT146" s="112"/>
      <c r="AU146" s="112"/>
      <c r="AV146" s="4"/>
      <c r="BG146" s="76"/>
    </row>
    <row r="147" spans="1:59" s="75" customFormat="1" x14ac:dyDescent="0.25">
      <c r="A147" s="76"/>
      <c r="E147" s="88"/>
      <c r="F147" s="88"/>
      <c r="G147" s="88"/>
      <c r="H147" s="88"/>
      <c r="I147" s="88"/>
      <c r="J147" s="88"/>
      <c r="AT147" s="112"/>
      <c r="AU147" s="112"/>
      <c r="AV147" s="4"/>
      <c r="BG147" s="76"/>
    </row>
    <row r="148" spans="1:59" s="75" customFormat="1" x14ac:dyDescent="0.25">
      <c r="A148" s="76"/>
      <c r="E148" s="88"/>
      <c r="F148" s="88"/>
      <c r="G148" s="88"/>
      <c r="H148" s="88"/>
      <c r="I148" s="88"/>
      <c r="J148" s="88"/>
      <c r="AT148" s="112"/>
      <c r="AU148" s="112"/>
      <c r="AV148" s="4"/>
      <c r="BG148" s="76"/>
    </row>
    <row r="149" spans="1:59" s="75" customFormat="1" x14ac:dyDescent="0.25">
      <c r="A149" s="76"/>
      <c r="E149" s="88"/>
      <c r="F149" s="88"/>
      <c r="G149" s="88"/>
      <c r="H149" s="88"/>
      <c r="I149" s="88"/>
      <c r="J149" s="88"/>
      <c r="AT149" s="112"/>
      <c r="AU149" s="112"/>
      <c r="AV149" s="4"/>
      <c r="BG149" s="76"/>
    </row>
    <row r="150" spans="1:59" s="75" customFormat="1" x14ac:dyDescent="0.25">
      <c r="A150" s="76"/>
      <c r="E150" s="88"/>
      <c r="F150" s="88"/>
      <c r="G150" s="88"/>
      <c r="H150" s="88"/>
      <c r="I150" s="88"/>
      <c r="J150" s="88"/>
      <c r="AT150" s="112"/>
      <c r="AU150" s="112"/>
      <c r="AV150" s="4"/>
      <c r="BG150" s="76"/>
    </row>
    <row r="151" spans="1:59" s="75" customFormat="1" x14ac:dyDescent="0.25">
      <c r="A151" s="76"/>
      <c r="E151" s="88"/>
      <c r="F151" s="88"/>
      <c r="G151" s="88"/>
      <c r="H151" s="88"/>
      <c r="I151" s="88"/>
      <c r="J151" s="88"/>
      <c r="AT151" s="112"/>
      <c r="AU151" s="112"/>
      <c r="AV151" s="4"/>
      <c r="BG151" s="76"/>
    </row>
    <row r="152" spans="1:59" s="75" customFormat="1" x14ac:dyDescent="0.25">
      <c r="A152" s="76"/>
      <c r="E152" s="88"/>
      <c r="F152" s="88"/>
      <c r="G152" s="88"/>
      <c r="H152" s="88"/>
      <c r="I152" s="88"/>
      <c r="J152" s="88"/>
      <c r="AT152" s="112"/>
      <c r="AU152" s="112"/>
      <c r="AV152" s="4"/>
      <c r="BG152" s="76"/>
    </row>
    <row r="153" spans="1:59" s="75" customFormat="1" x14ac:dyDescent="0.25">
      <c r="A153" s="76"/>
      <c r="E153" s="88"/>
      <c r="F153" s="88"/>
      <c r="G153" s="88"/>
      <c r="H153" s="88"/>
      <c r="I153" s="88"/>
      <c r="J153" s="88"/>
      <c r="AT153" s="112"/>
      <c r="AU153" s="112"/>
      <c r="AV153" s="4"/>
      <c r="BG153" s="76"/>
    </row>
    <row r="154" spans="1:59" s="75" customFormat="1" x14ac:dyDescent="0.25">
      <c r="A154" s="76"/>
      <c r="E154" s="88"/>
      <c r="F154" s="88"/>
      <c r="G154" s="88"/>
      <c r="H154" s="88"/>
      <c r="I154" s="88"/>
      <c r="J154" s="88"/>
      <c r="AT154" s="112"/>
      <c r="AU154" s="112"/>
      <c r="AV154" s="4"/>
      <c r="BG154" s="76"/>
    </row>
    <row r="155" spans="1:59" s="75" customFormat="1" x14ac:dyDescent="0.25">
      <c r="A155" s="76"/>
      <c r="E155" s="88"/>
      <c r="F155" s="88"/>
      <c r="G155" s="88"/>
      <c r="H155" s="88"/>
      <c r="I155" s="88"/>
      <c r="J155" s="88"/>
      <c r="AT155" s="112"/>
      <c r="AU155" s="112"/>
      <c r="AV155" s="4"/>
      <c r="BG155" s="76"/>
    </row>
    <row r="156" spans="1:59" s="75" customFormat="1" x14ac:dyDescent="0.25">
      <c r="A156" s="76"/>
      <c r="E156" s="88"/>
      <c r="F156" s="88"/>
      <c r="G156" s="88"/>
      <c r="H156" s="88"/>
      <c r="I156" s="88"/>
      <c r="J156" s="88"/>
      <c r="AT156" s="112"/>
      <c r="AU156" s="112"/>
      <c r="AV156" s="4"/>
      <c r="BG156" s="76"/>
    </row>
    <row r="157" spans="1:59" s="75" customFormat="1" x14ac:dyDescent="0.25">
      <c r="A157" s="76"/>
      <c r="E157" s="88"/>
      <c r="F157" s="88"/>
      <c r="G157" s="88"/>
      <c r="H157" s="88"/>
      <c r="I157" s="88"/>
      <c r="J157" s="88"/>
      <c r="AT157" s="112"/>
      <c r="AU157" s="112"/>
      <c r="AV157" s="4"/>
      <c r="BG157" s="76"/>
    </row>
    <row r="158" spans="1:59" s="75" customFormat="1" x14ac:dyDescent="0.25">
      <c r="A158" s="76"/>
      <c r="E158" s="88"/>
      <c r="F158" s="88"/>
      <c r="G158" s="88"/>
      <c r="H158" s="88"/>
      <c r="I158" s="88"/>
      <c r="J158" s="88"/>
      <c r="AT158" s="112"/>
      <c r="AU158" s="112"/>
      <c r="AV158" s="4"/>
      <c r="BG158" s="76"/>
    </row>
    <row r="159" spans="1:59" s="75" customFormat="1" x14ac:dyDescent="0.25">
      <c r="A159" s="76"/>
      <c r="E159" s="88"/>
      <c r="F159" s="88"/>
      <c r="G159" s="88"/>
      <c r="H159" s="88"/>
      <c r="I159" s="88"/>
      <c r="J159" s="88"/>
      <c r="AT159" s="112"/>
      <c r="AU159" s="112"/>
      <c r="AV159" s="4"/>
      <c r="BG159" s="76"/>
    </row>
    <row r="160" spans="1:59" s="75" customFormat="1" x14ac:dyDescent="0.25">
      <c r="A160" s="76"/>
      <c r="E160" s="88"/>
      <c r="F160" s="88"/>
      <c r="G160" s="88"/>
      <c r="H160" s="88"/>
      <c r="I160" s="88"/>
      <c r="J160" s="88"/>
      <c r="AT160" s="112"/>
      <c r="AU160" s="112"/>
      <c r="AV160" s="4"/>
      <c r="BG160" s="76"/>
    </row>
    <row r="161" spans="1:59" s="75" customFormat="1" x14ac:dyDescent="0.25">
      <c r="A161" s="76"/>
      <c r="E161" s="88"/>
      <c r="F161" s="88"/>
      <c r="G161" s="88"/>
      <c r="H161" s="88"/>
      <c r="I161" s="88"/>
      <c r="J161" s="88"/>
      <c r="AT161" s="112"/>
      <c r="AU161" s="112"/>
      <c r="AV161" s="4"/>
      <c r="BG161" s="76"/>
    </row>
    <row r="162" spans="1:59" s="75" customFormat="1" x14ac:dyDescent="0.25">
      <c r="A162" s="76"/>
      <c r="E162" s="88"/>
      <c r="F162" s="88"/>
      <c r="G162" s="88"/>
      <c r="H162" s="88"/>
      <c r="I162" s="88"/>
      <c r="J162" s="88"/>
      <c r="AT162" s="112"/>
      <c r="AU162" s="112"/>
      <c r="AV162" s="4"/>
      <c r="BG162" s="76"/>
    </row>
    <row r="163" spans="1:59" s="75" customFormat="1" x14ac:dyDescent="0.25">
      <c r="A163" s="76"/>
      <c r="E163" s="88"/>
      <c r="F163" s="88"/>
      <c r="G163" s="88"/>
      <c r="H163" s="88"/>
      <c r="I163" s="88"/>
      <c r="J163" s="88"/>
      <c r="AT163" s="112"/>
      <c r="AU163" s="112"/>
      <c r="AV163" s="4"/>
      <c r="BG163" s="76"/>
    </row>
    <row r="164" spans="1:59" s="75" customFormat="1" x14ac:dyDescent="0.25">
      <c r="A164" s="76"/>
      <c r="E164" s="88"/>
      <c r="F164" s="88"/>
      <c r="G164" s="88"/>
      <c r="H164" s="88"/>
      <c r="I164" s="88"/>
      <c r="J164" s="88"/>
      <c r="AT164" s="112"/>
      <c r="AU164" s="112"/>
      <c r="AV164" s="4"/>
      <c r="BG164" s="76"/>
    </row>
    <row r="165" spans="1:59" s="75" customFormat="1" x14ac:dyDescent="0.25">
      <c r="A165" s="76"/>
      <c r="E165" s="88"/>
      <c r="F165" s="88"/>
      <c r="G165" s="88"/>
      <c r="H165" s="88"/>
      <c r="I165" s="88"/>
      <c r="J165" s="88"/>
      <c r="AT165" s="112"/>
      <c r="AU165" s="112"/>
      <c r="AV165" s="4"/>
      <c r="BG165" s="76"/>
    </row>
    <row r="166" spans="1:59" s="75" customFormat="1" x14ac:dyDescent="0.25">
      <c r="A166" s="76"/>
      <c r="E166" s="88"/>
      <c r="F166" s="88"/>
      <c r="G166" s="88"/>
      <c r="H166" s="88"/>
      <c r="I166" s="88"/>
      <c r="J166" s="88"/>
      <c r="AT166" s="112"/>
      <c r="AU166" s="112"/>
      <c r="AV166" s="4"/>
      <c r="BG166" s="76"/>
    </row>
    <row r="167" spans="1:59" s="75" customFormat="1" x14ac:dyDescent="0.25">
      <c r="A167" s="76"/>
      <c r="E167" s="88"/>
      <c r="F167" s="88"/>
      <c r="G167" s="88"/>
      <c r="H167" s="88"/>
      <c r="I167" s="88"/>
      <c r="J167" s="88"/>
      <c r="AT167" s="112"/>
      <c r="AU167" s="112"/>
      <c r="AV167" s="4"/>
      <c r="BG167" s="76"/>
    </row>
    <row r="168" spans="1:59" s="75" customFormat="1" x14ac:dyDescent="0.25">
      <c r="A168" s="76"/>
      <c r="E168" s="88"/>
      <c r="F168" s="88"/>
      <c r="G168" s="88"/>
      <c r="H168" s="88"/>
      <c r="I168" s="88"/>
      <c r="J168" s="88"/>
      <c r="AT168" s="112"/>
      <c r="AU168" s="112"/>
      <c r="AV168" s="4"/>
      <c r="BG168" s="76"/>
    </row>
    <row r="169" spans="1:59" s="75" customFormat="1" x14ac:dyDescent="0.25">
      <c r="A169" s="76"/>
      <c r="E169" s="88"/>
      <c r="F169" s="88"/>
      <c r="G169" s="88"/>
      <c r="H169" s="88"/>
      <c r="I169" s="88"/>
      <c r="J169" s="88"/>
      <c r="AT169" s="112"/>
      <c r="AU169" s="112"/>
      <c r="AV169" s="4"/>
      <c r="BG169" s="76"/>
    </row>
    <row r="170" spans="1:59" s="75" customFormat="1" x14ac:dyDescent="0.25">
      <c r="A170" s="76"/>
      <c r="E170" s="88"/>
      <c r="F170" s="88"/>
      <c r="G170" s="88"/>
      <c r="H170" s="88"/>
      <c r="I170" s="88"/>
      <c r="J170" s="88"/>
      <c r="AT170" s="112"/>
      <c r="AU170" s="112"/>
      <c r="AV170" s="4"/>
      <c r="BG170" s="76"/>
    </row>
    <row r="171" spans="1:59" s="75" customFormat="1" x14ac:dyDescent="0.25">
      <c r="A171" s="76"/>
      <c r="E171" s="88"/>
      <c r="F171" s="88"/>
      <c r="G171" s="88"/>
      <c r="H171" s="88"/>
      <c r="I171" s="88"/>
      <c r="J171" s="88"/>
      <c r="AT171" s="112"/>
      <c r="AU171" s="112"/>
      <c r="AV171" s="4"/>
      <c r="BG171" s="76"/>
    </row>
    <row r="172" spans="1:59" s="75" customFormat="1" x14ac:dyDescent="0.25">
      <c r="A172" s="76"/>
      <c r="E172" s="88"/>
      <c r="F172" s="88"/>
      <c r="G172" s="88"/>
      <c r="H172" s="88"/>
      <c r="I172" s="88"/>
      <c r="J172" s="88"/>
      <c r="AT172" s="112"/>
      <c r="AU172" s="112"/>
      <c r="AV172" s="4"/>
      <c r="BG172" s="76"/>
    </row>
    <row r="173" spans="1:59" s="75" customFormat="1" x14ac:dyDescent="0.25">
      <c r="A173" s="76"/>
      <c r="E173" s="88"/>
      <c r="F173" s="88"/>
      <c r="G173" s="88"/>
      <c r="H173" s="88"/>
      <c r="I173" s="88"/>
      <c r="J173" s="88"/>
      <c r="AT173" s="112"/>
      <c r="AU173" s="112"/>
      <c r="AV173" s="4"/>
      <c r="BG173" s="76"/>
    </row>
    <row r="174" spans="1:59" s="75" customFormat="1" x14ac:dyDescent="0.25">
      <c r="A174" s="76"/>
      <c r="E174" s="88"/>
      <c r="F174" s="88"/>
      <c r="G174" s="88"/>
      <c r="H174" s="88"/>
      <c r="I174" s="88"/>
      <c r="J174" s="88"/>
      <c r="AT174" s="112"/>
      <c r="AU174" s="112"/>
      <c r="AV174" s="4"/>
      <c r="BG174" s="76"/>
    </row>
    <row r="175" spans="1:59" s="75" customFormat="1" x14ac:dyDescent="0.25">
      <c r="A175" s="76"/>
      <c r="E175" s="88"/>
      <c r="F175" s="88"/>
      <c r="G175" s="88"/>
      <c r="H175" s="88"/>
      <c r="I175" s="88"/>
      <c r="J175" s="88"/>
      <c r="AT175" s="112"/>
      <c r="AU175" s="112"/>
      <c r="AV175" s="4"/>
      <c r="BG175" s="76"/>
    </row>
    <row r="176" spans="1:59" s="75" customFormat="1" x14ac:dyDescent="0.25">
      <c r="A176" s="76"/>
      <c r="E176" s="88"/>
      <c r="F176" s="88"/>
      <c r="G176" s="88"/>
      <c r="H176" s="88"/>
      <c r="I176" s="88"/>
      <c r="J176" s="88"/>
      <c r="AT176" s="112"/>
      <c r="AU176" s="112"/>
      <c r="AV176" s="4"/>
      <c r="BG176" s="76"/>
    </row>
    <row r="177" spans="1:59" s="75" customFormat="1" x14ac:dyDescent="0.25">
      <c r="A177" s="76"/>
      <c r="E177" s="88"/>
      <c r="F177" s="88"/>
      <c r="G177" s="88"/>
      <c r="H177" s="88"/>
      <c r="I177" s="88"/>
      <c r="J177" s="88"/>
      <c r="AT177" s="112"/>
      <c r="AU177" s="112"/>
      <c r="AV177" s="4"/>
      <c r="BG177" s="76"/>
    </row>
    <row r="178" spans="1:59" s="75" customFormat="1" x14ac:dyDescent="0.25">
      <c r="A178" s="76"/>
      <c r="E178" s="88"/>
      <c r="F178" s="88"/>
      <c r="G178" s="88"/>
      <c r="H178" s="88"/>
      <c r="I178" s="88"/>
      <c r="J178" s="88"/>
      <c r="AT178" s="112"/>
      <c r="AU178" s="112"/>
      <c r="AV178" s="4"/>
      <c r="BG178" s="76"/>
    </row>
    <row r="179" spans="1:59" s="75" customFormat="1" x14ac:dyDescent="0.25">
      <c r="A179" s="76"/>
      <c r="E179" s="88"/>
      <c r="F179" s="88"/>
      <c r="G179" s="88"/>
      <c r="H179" s="88"/>
      <c r="I179" s="88"/>
      <c r="J179" s="88"/>
      <c r="AT179" s="112"/>
      <c r="AU179" s="112"/>
      <c r="AV179" s="4"/>
      <c r="BG179" s="76"/>
    </row>
    <row r="180" spans="1:59" s="75" customFormat="1" x14ac:dyDescent="0.25">
      <c r="A180" s="76"/>
      <c r="E180" s="88"/>
      <c r="F180" s="88"/>
      <c r="G180" s="88"/>
      <c r="H180" s="88"/>
      <c r="I180" s="88"/>
      <c r="J180" s="88"/>
      <c r="AT180" s="112"/>
      <c r="AU180" s="112"/>
      <c r="AV180" s="4"/>
      <c r="BG180" s="76"/>
    </row>
    <row r="181" spans="1:59" s="75" customFormat="1" x14ac:dyDescent="0.25">
      <c r="A181" s="76"/>
      <c r="E181" s="88"/>
      <c r="F181" s="88"/>
      <c r="G181" s="88"/>
      <c r="H181" s="88"/>
      <c r="I181" s="88"/>
      <c r="J181" s="88"/>
      <c r="AT181" s="112"/>
      <c r="AU181" s="112"/>
      <c r="AV181" s="4"/>
      <c r="BG181" s="76"/>
    </row>
    <row r="182" spans="1:59" s="75" customFormat="1" x14ac:dyDescent="0.25">
      <c r="A182" s="76"/>
      <c r="E182" s="88"/>
      <c r="F182" s="88"/>
      <c r="G182" s="88"/>
      <c r="H182" s="88"/>
      <c r="I182" s="88"/>
      <c r="J182" s="88"/>
      <c r="AT182" s="112"/>
      <c r="AU182" s="112"/>
      <c r="AV182" s="4"/>
      <c r="BG182" s="76"/>
    </row>
    <row r="183" spans="1:59" s="75" customFormat="1" x14ac:dyDescent="0.25">
      <c r="A183" s="76"/>
      <c r="E183" s="88"/>
      <c r="F183" s="88"/>
      <c r="G183" s="88"/>
      <c r="H183" s="88"/>
      <c r="I183" s="88"/>
      <c r="J183" s="88"/>
      <c r="AT183" s="112"/>
      <c r="AU183" s="112"/>
      <c r="AV183" s="4"/>
      <c r="BG183" s="76"/>
    </row>
    <row r="184" spans="1:59" s="75" customFormat="1" x14ac:dyDescent="0.25">
      <c r="A184" s="76"/>
      <c r="E184" s="88"/>
      <c r="F184" s="88"/>
      <c r="G184" s="88"/>
      <c r="H184" s="88"/>
      <c r="I184" s="88"/>
      <c r="J184" s="88"/>
      <c r="AT184" s="112"/>
      <c r="AU184" s="112"/>
      <c r="AV184" s="4"/>
      <c r="BG184" s="76"/>
    </row>
    <row r="185" spans="1:59" s="75" customFormat="1" x14ac:dyDescent="0.25">
      <c r="A185" s="76"/>
      <c r="E185" s="88"/>
      <c r="F185" s="88"/>
      <c r="G185" s="88"/>
      <c r="H185" s="88"/>
      <c r="I185" s="88"/>
      <c r="J185" s="88"/>
      <c r="AT185" s="112"/>
      <c r="AU185" s="112"/>
      <c r="AV185" s="4"/>
      <c r="BG185" s="76"/>
    </row>
    <row r="186" spans="1:59" s="75" customFormat="1" x14ac:dyDescent="0.25">
      <c r="A186" s="76"/>
      <c r="E186" s="88"/>
      <c r="F186" s="88"/>
      <c r="G186" s="88"/>
      <c r="H186" s="88"/>
      <c r="I186" s="88"/>
      <c r="J186" s="88"/>
      <c r="AT186" s="112"/>
      <c r="AU186" s="112"/>
      <c r="AV186" s="4"/>
      <c r="BG186" s="76"/>
    </row>
    <row r="187" spans="1:59" s="75" customFormat="1" x14ac:dyDescent="0.25">
      <c r="A187" s="76"/>
      <c r="E187" s="88"/>
      <c r="F187" s="88"/>
      <c r="G187" s="88"/>
      <c r="H187" s="88"/>
      <c r="I187" s="88"/>
      <c r="J187" s="88"/>
      <c r="AT187" s="112"/>
      <c r="AU187" s="112"/>
      <c r="AV187" s="4"/>
      <c r="BG187" s="76"/>
    </row>
    <row r="188" spans="1:59" s="75" customFormat="1" x14ac:dyDescent="0.25">
      <c r="A188" s="76"/>
      <c r="E188" s="88"/>
      <c r="F188" s="88"/>
      <c r="G188" s="88"/>
      <c r="H188" s="88"/>
      <c r="I188" s="88"/>
      <c r="J188" s="88"/>
      <c r="AT188" s="112"/>
      <c r="AU188" s="112"/>
      <c r="AV188" s="4"/>
      <c r="BG188" s="76"/>
    </row>
    <row r="189" spans="1:59" s="75" customFormat="1" x14ac:dyDescent="0.25">
      <c r="A189" s="76"/>
      <c r="E189" s="88"/>
      <c r="F189" s="88"/>
      <c r="G189" s="88"/>
      <c r="H189" s="88"/>
      <c r="I189" s="88"/>
      <c r="J189" s="88"/>
      <c r="AT189" s="112"/>
      <c r="AU189" s="112"/>
      <c r="AV189" s="4"/>
      <c r="BG189" s="76"/>
    </row>
    <row r="190" spans="1:59" s="75" customFormat="1" x14ac:dyDescent="0.25">
      <c r="A190" s="76"/>
      <c r="E190" s="88"/>
      <c r="F190" s="88"/>
      <c r="G190" s="88"/>
      <c r="H190" s="88"/>
      <c r="I190" s="88"/>
      <c r="J190" s="88"/>
      <c r="AT190" s="112"/>
      <c r="AU190" s="112"/>
      <c r="AV190" s="4"/>
      <c r="BG190" s="76"/>
    </row>
    <row r="191" spans="1:59" s="75" customFormat="1" x14ac:dyDescent="0.25">
      <c r="A191" s="76"/>
      <c r="E191" s="88"/>
      <c r="F191" s="88"/>
      <c r="G191" s="88"/>
      <c r="H191" s="88"/>
      <c r="I191" s="88"/>
      <c r="J191" s="88"/>
      <c r="AT191" s="112"/>
      <c r="AU191" s="112"/>
      <c r="AV191" s="4"/>
      <c r="BG191" s="76"/>
    </row>
    <row r="192" spans="1:59" s="75" customFormat="1" x14ac:dyDescent="0.25">
      <c r="A192" s="76"/>
      <c r="E192" s="88"/>
      <c r="F192" s="88"/>
      <c r="G192" s="88"/>
      <c r="H192" s="88"/>
      <c r="I192" s="88"/>
      <c r="J192" s="88"/>
      <c r="AT192" s="112"/>
      <c r="AU192" s="112"/>
      <c r="AV192" s="4"/>
      <c r="BG192" s="76"/>
    </row>
    <row r="193" spans="1:59" s="75" customFormat="1" x14ac:dyDescent="0.25">
      <c r="A193" s="76"/>
      <c r="E193" s="88"/>
      <c r="F193" s="88"/>
      <c r="G193" s="88"/>
      <c r="H193" s="88"/>
      <c r="I193" s="88"/>
      <c r="J193" s="88"/>
      <c r="AT193" s="112"/>
      <c r="AU193" s="112"/>
      <c r="AV193" s="4"/>
      <c r="BG193" s="76"/>
    </row>
    <row r="194" spans="1:59" s="75" customFormat="1" x14ac:dyDescent="0.25">
      <c r="A194" s="76"/>
      <c r="E194" s="88"/>
      <c r="F194" s="88"/>
      <c r="G194" s="88"/>
      <c r="H194" s="88"/>
      <c r="I194" s="88"/>
      <c r="J194" s="88"/>
      <c r="AT194" s="112"/>
      <c r="AU194" s="112"/>
      <c r="AV194" s="4"/>
      <c r="BG194" s="76"/>
    </row>
    <row r="195" spans="1:59" s="75" customFormat="1" x14ac:dyDescent="0.25">
      <c r="A195" s="76"/>
      <c r="E195" s="88"/>
      <c r="F195" s="88"/>
      <c r="G195" s="88"/>
      <c r="H195" s="88"/>
      <c r="I195" s="88"/>
      <c r="J195" s="88"/>
      <c r="AT195" s="112"/>
      <c r="AU195" s="112"/>
      <c r="AV195" s="4"/>
      <c r="BG195" s="76"/>
    </row>
    <row r="196" spans="1:59" s="75" customFormat="1" x14ac:dyDescent="0.25">
      <c r="A196" s="76"/>
      <c r="E196" s="88"/>
      <c r="F196" s="88"/>
      <c r="G196" s="88"/>
      <c r="H196" s="88"/>
      <c r="I196" s="88"/>
      <c r="J196" s="88"/>
      <c r="AT196" s="112"/>
      <c r="AU196" s="112"/>
      <c r="AV196" s="4"/>
      <c r="BG196" s="76"/>
    </row>
    <row r="197" spans="1:59" s="75" customFormat="1" x14ac:dyDescent="0.25">
      <c r="A197" s="76"/>
      <c r="E197" s="88"/>
      <c r="F197" s="88"/>
      <c r="G197" s="88"/>
      <c r="H197" s="88"/>
      <c r="I197" s="88"/>
      <c r="J197" s="88"/>
      <c r="AT197" s="112"/>
      <c r="AU197" s="112"/>
      <c r="AV197" s="4"/>
      <c r="BG197" s="76"/>
    </row>
    <row r="198" spans="1:59" s="75" customFormat="1" x14ac:dyDescent="0.25">
      <c r="A198" s="76"/>
      <c r="E198" s="88"/>
      <c r="F198" s="88"/>
      <c r="G198" s="88"/>
      <c r="H198" s="88"/>
      <c r="I198" s="88"/>
      <c r="J198" s="88"/>
      <c r="AT198" s="112"/>
      <c r="AU198" s="112"/>
      <c r="AV198" s="4"/>
      <c r="BG198" s="76"/>
    </row>
    <row r="199" spans="1:59" s="75" customFormat="1" x14ac:dyDescent="0.25">
      <c r="A199" s="76"/>
      <c r="E199" s="88"/>
      <c r="F199" s="88"/>
      <c r="G199" s="88"/>
      <c r="H199" s="88"/>
      <c r="I199" s="88"/>
      <c r="J199" s="88"/>
      <c r="AT199" s="112"/>
      <c r="AU199" s="112"/>
      <c r="AV199" s="4"/>
      <c r="BG199" s="76"/>
    </row>
    <row r="200" spans="1:59" s="75" customFormat="1" x14ac:dyDescent="0.25">
      <c r="A200" s="76"/>
      <c r="E200" s="88"/>
      <c r="F200" s="88"/>
      <c r="G200" s="88"/>
      <c r="H200" s="88"/>
      <c r="I200" s="88"/>
      <c r="J200" s="88"/>
      <c r="AT200" s="112"/>
      <c r="AU200" s="112"/>
      <c r="AV200" s="4"/>
      <c r="BG200" s="76"/>
    </row>
    <row r="201" spans="1:59" s="75" customFormat="1" x14ac:dyDescent="0.25">
      <c r="A201" s="76"/>
      <c r="E201" s="88"/>
      <c r="F201" s="88"/>
      <c r="G201" s="88"/>
      <c r="H201" s="88"/>
      <c r="I201" s="88"/>
      <c r="J201" s="88"/>
      <c r="AT201" s="112"/>
      <c r="AU201" s="112"/>
      <c r="AV201" s="4"/>
      <c r="BG201" s="76"/>
    </row>
    <row r="202" spans="1:59" s="75" customFormat="1" x14ac:dyDescent="0.25">
      <c r="A202" s="76"/>
      <c r="E202" s="88"/>
      <c r="F202" s="88"/>
      <c r="G202" s="88"/>
      <c r="H202" s="88"/>
      <c r="I202" s="88"/>
      <c r="J202" s="88"/>
      <c r="AT202" s="112"/>
      <c r="AU202" s="112"/>
      <c r="AV202" s="4"/>
      <c r="BG202" s="76"/>
    </row>
    <row r="203" spans="1:59" s="75" customFormat="1" x14ac:dyDescent="0.25">
      <c r="A203" s="76"/>
      <c r="E203" s="88"/>
      <c r="F203" s="88"/>
      <c r="G203" s="88"/>
      <c r="H203" s="88"/>
      <c r="I203" s="88"/>
      <c r="J203" s="88"/>
      <c r="AT203" s="112"/>
      <c r="AU203" s="112"/>
      <c r="AV203" s="4"/>
      <c r="BG203" s="76"/>
    </row>
    <row r="204" spans="1:59" s="75" customFormat="1" x14ac:dyDescent="0.25">
      <c r="A204" s="76"/>
      <c r="E204" s="88"/>
      <c r="F204" s="88"/>
      <c r="G204" s="88"/>
      <c r="H204" s="88"/>
      <c r="I204" s="88"/>
      <c r="J204" s="88"/>
      <c r="AT204" s="112"/>
      <c r="AU204" s="112"/>
      <c r="AV204" s="4"/>
      <c r="BG204" s="76"/>
    </row>
    <row r="205" spans="1:59" s="75" customFormat="1" x14ac:dyDescent="0.25">
      <c r="A205" s="76"/>
      <c r="E205" s="88"/>
      <c r="F205" s="88"/>
      <c r="G205" s="88"/>
      <c r="H205" s="88"/>
      <c r="I205" s="88"/>
      <c r="J205" s="88"/>
      <c r="AT205" s="112"/>
      <c r="AU205" s="112"/>
      <c r="AV205" s="4"/>
      <c r="BG205" s="76"/>
    </row>
    <row r="206" spans="1:59" s="75" customFormat="1" x14ac:dyDescent="0.25">
      <c r="A206" s="76"/>
      <c r="E206" s="88"/>
      <c r="F206" s="88"/>
      <c r="G206" s="88"/>
      <c r="H206" s="88"/>
      <c r="I206" s="88"/>
      <c r="J206" s="88"/>
      <c r="AT206" s="112"/>
      <c r="AU206" s="112"/>
      <c r="AV206" s="4"/>
      <c r="BG206" s="76"/>
    </row>
    <row r="207" spans="1:59" s="75" customFormat="1" x14ac:dyDescent="0.25">
      <c r="A207" s="76"/>
      <c r="E207" s="88"/>
      <c r="F207" s="88"/>
      <c r="G207" s="88"/>
      <c r="H207" s="88"/>
      <c r="I207" s="88"/>
      <c r="J207" s="88"/>
      <c r="AT207" s="112"/>
      <c r="AU207" s="112"/>
      <c r="AV207" s="4"/>
      <c r="BG207" s="76"/>
    </row>
    <row r="208" spans="1:59" s="75" customFormat="1" x14ac:dyDescent="0.25">
      <c r="A208" s="76"/>
      <c r="E208" s="88"/>
      <c r="F208" s="88"/>
      <c r="G208" s="88"/>
      <c r="H208" s="88"/>
      <c r="I208" s="88"/>
      <c r="J208" s="88"/>
      <c r="AT208" s="112"/>
      <c r="AU208" s="112"/>
      <c r="AV208" s="4"/>
      <c r="BG208" s="76"/>
    </row>
    <row r="209" spans="1:59" s="75" customFormat="1" x14ac:dyDescent="0.25">
      <c r="A209" s="76"/>
      <c r="E209" s="88"/>
      <c r="F209" s="88"/>
      <c r="G209" s="88"/>
      <c r="H209" s="88"/>
      <c r="I209" s="88"/>
      <c r="J209" s="88"/>
      <c r="AT209" s="112"/>
      <c r="AU209" s="112"/>
      <c r="AV209" s="4"/>
      <c r="BG209" s="76"/>
    </row>
    <row r="210" spans="1:59" s="75" customFormat="1" x14ac:dyDescent="0.25">
      <c r="A210" s="76"/>
      <c r="E210" s="88"/>
      <c r="F210" s="88"/>
      <c r="G210" s="88"/>
      <c r="H210" s="88"/>
      <c r="I210" s="88"/>
      <c r="J210" s="88"/>
      <c r="AT210" s="112"/>
      <c r="AU210" s="112"/>
      <c r="AV210" s="4"/>
      <c r="BG210" s="76"/>
    </row>
    <row r="211" spans="1:59" s="75" customFormat="1" x14ac:dyDescent="0.25">
      <c r="A211" s="76"/>
      <c r="E211" s="88"/>
      <c r="F211" s="88"/>
      <c r="G211" s="88"/>
      <c r="H211" s="88"/>
      <c r="I211" s="88"/>
      <c r="J211" s="88"/>
      <c r="AT211" s="112"/>
      <c r="AU211" s="112"/>
      <c r="AV211" s="4"/>
      <c r="BG211" s="76"/>
    </row>
    <row r="212" spans="1:59" s="75" customFormat="1" x14ac:dyDescent="0.25">
      <c r="A212" s="76"/>
      <c r="E212" s="88"/>
      <c r="F212" s="88"/>
      <c r="G212" s="88"/>
      <c r="H212" s="88"/>
      <c r="I212" s="88"/>
      <c r="J212" s="88"/>
      <c r="AT212" s="112"/>
      <c r="AU212" s="112"/>
      <c r="AV212" s="4"/>
      <c r="BG212" s="76"/>
    </row>
    <row r="213" spans="1:59" s="75" customFormat="1" x14ac:dyDescent="0.25">
      <c r="A213" s="76"/>
      <c r="E213" s="88"/>
      <c r="F213" s="88"/>
      <c r="G213" s="88"/>
      <c r="H213" s="88"/>
      <c r="I213" s="88"/>
      <c r="J213" s="88"/>
      <c r="AT213" s="112"/>
      <c r="AU213" s="112"/>
      <c r="AV213" s="4"/>
      <c r="BG213" s="76"/>
    </row>
    <row r="214" spans="1:59" s="75" customFormat="1" x14ac:dyDescent="0.25">
      <c r="A214" s="76"/>
      <c r="E214" s="88"/>
      <c r="F214" s="88"/>
      <c r="G214" s="88"/>
      <c r="H214" s="88"/>
      <c r="I214" s="88"/>
      <c r="J214" s="88"/>
      <c r="AT214" s="112"/>
      <c r="AU214" s="112"/>
      <c r="AV214" s="4"/>
      <c r="BG214" s="76"/>
    </row>
    <row r="215" spans="1:59" s="75" customFormat="1" x14ac:dyDescent="0.25">
      <c r="A215" s="76"/>
      <c r="E215" s="88"/>
      <c r="F215" s="88"/>
      <c r="G215" s="88"/>
      <c r="H215" s="88"/>
      <c r="I215" s="88"/>
      <c r="J215" s="88"/>
      <c r="AT215" s="112"/>
      <c r="AU215" s="112"/>
      <c r="AV215" s="4"/>
      <c r="BG215" s="76"/>
    </row>
    <row r="216" spans="1:59" s="75" customFormat="1" x14ac:dyDescent="0.25">
      <c r="A216" s="76"/>
      <c r="E216" s="88"/>
      <c r="F216" s="88"/>
      <c r="G216" s="88"/>
      <c r="H216" s="88"/>
      <c r="I216" s="88"/>
      <c r="J216" s="88"/>
      <c r="AT216" s="112"/>
      <c r="AU216" s="112"/>
      <c r="AV216" s="4"/>
      <c r="BG216" s="76"/>
    </row>
    <row r="217" spans="1:59" s="75" customFormat="1" x14ac:dyDescent="0.25">
      <c r="A217" s="76"/>
      <c r="E217" s="88"/>
      <c r="F217" s="88"/>
      <c r="G217" s="88"/>
      <c r="H217" s="88"/>
      <c r="I217" s="88"/>
      <c r="J217" s="88"/>
      <c r="AT217" s="112"/>
      <c r="AU217" s="112"/>
      <c r="AV217" s="4"/>
      <c r="BG217" s="76"/>
    </row>
    <row r="218" spans="1:59" s="75" customFormat="1" x14ac:dyDescent="0.25">
      <c r="A218" s="76"/>
      <c r="E218" s="88"/>
      <c r="F218" s="88"/>
      <c r="G218" s="88"/>
      <c r="H218" s="88"/>
      <c r="I218" s="88"/>
      <c r="J218" s="88"/>
      <c r="AT218" s="112"/>
      <c r="AU218" s="112"/>
      <c r="AV218" s="4"/>
      <c r="BG218" s="76"/>
    </row>
    <row r="219" spans="1:59" s="75" customFormat="1" x14ac:dyDescent="0.25">
      <c r="A219" s="76"/>
      <c r="E219" s="88"/>
      <c r="F219" s="88"/>
      <c r="G219" s="88"/>
      <c r="H219" s="88"/>
      <c r="I219" s="88"/>
      <c r="J219" s="88"/>
      <c r="AT219" s="112"/>
      <c r="AU219" s="112"/>
      <c r="AV219" s="4"/>
      <c r="BG219" s="76"/>
    </row>
    <row r="220" spans="1:59" s="75" customFormat="1" x14ac:dyDescent="0.25">
      <c r="A220" s="76"/>
      <c r="E220" s="88"/>
      <c r="F220" s="88"/>
      <c r="G220" s="88"/>
      <c r="H220" s="88"/>
      <c r="I220" s="88"/>
      <c r="J220" s="88"/>
      <c r="AT220" s="112"/>
      <c r="AU220" s="112"/>
      <c r="AV220" s="4"/>
      <c r="BG220" s="76"/>
    </row>
    <row r="221" spans="1:59" s="75" customFormat="1" x14ac:dyDescent="0.25">
      <c r="A221" s="76"/>
      <c r="E221" s="88"/>
      <c r="F221" s="88"/>
      <c r="G221" s="88"/>
      <c r="H221" s="88"/>
      <c r="I221" s="88"/>
      <c r="J221" s="88"/>
      <c r="AT221" s="112"/>
      <c r="AU221" s="112"/>
      <c r="AV221" s="4"/>
      <c r="BG221" s="76"/>
    </row>
    <row r="222" spans="1:59" s="75" customFormat="1" x14ac:dyDescent="0.25">
      <c r="A222" s="76"/>
      <c r="E222" s="88"/>
      <c r="F222" s="88"/>
      <c r="G222" s="88"/>
      <c r="H222" s="88"/>
      <c r="I222" s="88"/>
      <c r="J222" s="88"/>
      <c r="AT222" s="112"/>
      <c r="AU222" s="112"/>
      <c r="AV222" s="4"/>
      <c r="BG222" s="76"/>
    </row>
    <row r="223" spans="1:59" s="75" customFormat="1" x14ac:dyDescent="0.25">
      <c r="A223" s="76"/>
      <c r="E223" s="88"/>
      <c r="F223" s="88"/>
      <c r="G223" s="88"/>
      <c r="H223" s="88"/>
      <c r="I223" s="88"/>
      <c r="J223" s="88"/>
      <c r="AT223" s="112"/>
      <c r="AU223" s="112"/>
      <c r="AV223" s="4"/>
      <c r="BG223" s="76"/>
    </row>
    <row r="224" spans="1:59" s="75" customFormat="1" x14ac:dyDescent="0.25">
      <c r="A224" s="76"/>
      <c r="E224" s="88"/>
      <c r="F224" s="88"/>
      <c r="G224" s="88"/>
      <c r="H224" s="88"/>
      <c r="I224" s="88"/>
      <c r="J224" s="88"/>
      <c r="AT224" s="112"/>
      <c r="AU224" s="112"/>
      <c r="AV224" s="4"/>
      <c r="BG224" s="76"/>
    </row>
    <row r="225" spans="1:59" s="75" customFormat="1" x14ac:dyDescent="0.25">
      <c r="A225" s="76"/>
      <c r="E225" s="88"/>
      <c r="F225" s="88"/>
      <c r="G225" s="88"/>
      <c r="H225" s="88"/>
      <c r="I225" s="88"/>
      <c r="J225" s="88"/>
      <c r="AT225" s="112"/>
      <c r="AU225" s="112"/>
      <c r="AV225" s="4"/>
      <c r="BG225" s="76"/>
    </row>
    <row r="226" spans="1:59" s="75" customFormat="1" x14ac:dyDescent="0.25">
      <c r="A226" s="76"/>
      <c r="E226" s="88"/>
      <c r="F226" s="88"/>
      <c r="G226" s="88"/>
      <c r="H226" s="88"/>
      <c r="I226" s="88"/>
      <c r="J226" s="88"/>
      <c r="AT226" s="112"/>
      <c r="AU226" s="112"/>
      <c r="AV226" s="4"/>
      <c r="BG226" s="76"/>
    </row>
    <row r="227" spans="1:59" s="75" customFormat="1" x14ac:dyDescent="0.25">
      <c r="A227" s="76"/>
      <c r="E227" s="88"/>
      <c r="F227" s="88"/>
      <c r="G227" s="88"/>
      <c r="H227" s="88"/>
      <c r="I227" s="88"/>
      <c r="J227" s="88"/>
      <c r="AT227" s="112"/>
      <c r="AU227" s="112"/>
      <c r="AV227" s="4"/>
      <c r="BG227" s="76"/>
    </row>
    <row r="228" spans="1:59" s="75" customFormat="1" x14ac:dyDescent="0.25">
      <c r="A228" s="76"/>
      <c r="E228" s="88"/>
      <c r="F228" s="88"/>
      <c r="G228" s="88"/>
      <c r="H228" s="88"/>
      <c r="I228" s="88"/>
      <c r="J228" s="88"/>
      <c r="AT228" s="112"/>
      <c r="AU228" s="112"/>
      <c r="AV228" s="4"/>
      <c r="BG228" s="76"/>
    </row>
    <row r="229" spans="1:59" s="75" customFormat="1" x14ac:dyDescent="0.25">
      <c r="A229" s="76"/>
      <c r="E229" s="88"/>
      <c r="F229" s="88"/>
      <c r="G229" s="88"/>
      <c r="H229" s="88"/>
      <c r="I229" s="88"/>
      <c r="J229" s="88"/>
      <c r="AT229" s="112"/>
      <c r="AU229" s="112"/>
      <c r="AV229" s="4"/>
      <c r="BG229" s="76"/>
    </row>
    <row r="230" spans="1:59" s="75" customFormat="1" x14ac:dyDescent="0.25">
      <c r="A230" s="76"/>
      <c r="E230" s="88"/>
      <c r="F230" s="88"/>
      <c r="G230" s="88"/>
      <c r="H230" s="88"/>
      <c r="I230" s="88"/>
      <c r="J230" s="88"/>
      <c r="AT230" s="112"/>
      <c r="AU230" s="112"/>
      <c r="AV230" s="4"/>
      <c r="BG230" s="76"/>
    </row>
    <row r="231" spans="1:59" s="75" customFormat="1" x14ac:dyDescent="0.25">
      <c r="A231" s="76"/>
      <c r="E231" s="88"/>
      <c r="F231" s="88"/>
      <c r="G231" s="88"/>
      <c r="H231" s="88"/>
      <c r="I231" s="88"/>
      <c r="J231" s="88"/>
      <c r="AT231" s="112"/>
      <c r="AU231" s="112"/>
      <c r="AV231" s="4"/>
      <c r="BG231" s="76"/>
    </row>
    <row r="232" spans="1:59" s="75" customFormat="1" x14ac:dyDescent="0.25">
      <c r="A232" s="76"/>
      <c r="E232" s="88"/>
      <c r="F232" s="88"/>
      <c r="G232" s="88"/>
      <c r="H232" s="88"/>
      <c r="I232" s="88"/>
      <c r="J232" s="88"/>
      <c r="AT232" s="112"/>
      <c r="AU232" s="112"/>
      <c r="AV232" s="4"/>
      <c r="BG232" s="76"/>
    </row>
    <row r="233" spans="1:59" s="75" customFormat="1" x14ac:dyDescent="0.25">
      <c r="A233" s="76"/>
      <c r="E233" s="88"/>
      <c r="F233" s="88"/>
      <c r="G233" s="88"/>
      <c r="H233" s="88"/>
      <c r="I233" s="88"/>
      <c r="J233" s="88"/>
      <c r="AT233" s="112"/>
      <c r="AU233" s="112"/>
      <c r="AV233" s="4"/>
      <c r="BG233" s="76"/>
    </row>
    <row r="234" spans="1:59" s="75" customFormat="1" x14ac:dyDescent="0.25">
      <c r="A234" s="76"/>
      <c r="E234" s="88"/>
      <c r="F234" s="88"/>
      <c r="G234" s="88"/>
      <c r="H234" s="88"/>
      <c r="I234" s="88"/>
      <c r="J234" s="88"/>
      <c r="AT234" s="112"/>
      <c r="AU234" s="112"/>
      <c r="AV234" s="4"/>
      <c r="BG234" s="76"/>
    </row>
    <row r="235" spans="1:59" s="75" customFormat="1" x14ac:dyDescent="0.25">
      <c r="A235" s="76"/>
      <c r="E235" s="88"/>
      <c r="F235" s="88"/>
      <c r="G235" s="88"/>
      <c r="H235" s="88"/>
      <c r="I235" s="88"/>
      <c r="J235" s="88"/>
      <c r="AT235" s="112"/>
      <c r="AU235" s="112"/>
      <c r="AV235" s="4"/>
      <c r="BG235" s="76"/>
    </row>
    <row r="236" spans="1:59" s="75" customFormat="1" x14ac:dyDescent="0.25">
      <c r="A236" s="76"/>
      <c r="E236" s="88"/>
      <c r="F236" s="88"/>
      <c r="G236" s="88"/>
      <c r="H236" s="88"/>
      <c r="I236" s="88"/>
      <c r="J236" s="88"/>
      <c r="AT236" s="112"/>
      <c r="AU236" s="112"/>
      <c r="AV236" s="4"/>
      <c r="BG236" s="76"/>
    </row>
    <row r="237" spans="1:59" s="75" customFormat="1" x14ac:dyDescent="0.25">
      <c r="A237" s="76"/>
      <c r="E237" s="88"/>
      <c r="F237" s="88"/>
      <c r="G237" s="88"/>
      <c r="H237" s="88"/>
      <c r="I237" s="88"/>
      <c r="J237" s="88"/>
      <c r="AT237" s="112"/>
      <c r="AU237" s="112"/>
      <c r="AV237" s="4"/>
      <c r="BG237" s="76"/>
    </row>
    <row r="238" spans="1:59" s="75" customFormat="1" x14ac:dyDescent="0.25">
      <c r="A238" s="76"/>
      <c r="E238" s="88"/>
      <c r="F238" s="88"/>
      <c r="G238" s="88"/>
      <c r="H238" s="88"/>
      <c r="I238" s="88"/>
      <c r="J238" s="88"/>
      <c r="AT238" s="112"/>
      <c r="AU238" s="112"/>
      <c r="AV238" s="4"/>
      <c r="BG238" s="76"/>
    </row>
    <row r="239" spans="1:59" s="75" customFormat="1" x14ac:dyDescent="0.25">
      <c r="A239" s="76"/>
      <c r="E239" s="88"/>
      <c r="F239" s="88"/>
      <c r="G239" s="88"/>
      <c r="H239" s="88"/>
      <c r="I239" s="88"/>
      <c r="J239" s="88"/>
      <c r="AT239" s="112"/>
      <c r="AU239" s="112"/>
      <c r="AV239" s="4"/>
      <c r="BG239" s="76"/>
    </row>
    <row r="240" spans="1:59" s="75" customFormat="1" x14ac:dyDescent="0.25">
      <c r="A240" s="76"/>
      <c r="E240" s="88"/>
      <c r="F240" s="88"/>
      <c r="G240" s="88"/>
      <c r="H240" s="88"/>
      <c r="I240" s="88"/>
      <c r="J240" s="88"/>
      <c r="AT240" s="112"/>
      <c r="AU240" s="112"/>
      <c r="AV240" s="4"/>
      <c r="BG240" s="76"/>
    </row>
    <row r="241" spans="1:59" s="75" customFormat="1" x14ac:dyDescent="0.25">
      <c r="A241" s="76"/>
      <c r="E241" s="88"/>
      <c r="F241" s="88"/>
      <c r="G241" s="88"/>
      <c r="H241" s="88"/>
      <c r="I241" s="88"/>
      <c r="J241" s="88"/>
      <c r="AT241" s="112"/>
      <c r="AU241" s="112"/>
      <c r="AV241" s="4"/>
      <c r="BG241" s="76"/>
    </row>
    <row r="242" spans="1:59" s="75" customFormat="1" x14ac:dyDescent="0.25">
      <c r="A242" s="76"/>
      <c r="E242" s="88"/>
      <c r="F242" s="88"/>
      <c r="G242" s="88"/>
      <c r="H242" s="88"/>
      <c r="I242" s="88"/>
      <c r="J242" s="88"/>
      <c r="AT242" s="112"/>
      <c r="AU242" s="112"/>
      <c r="AV242" s="4"/>
      <c r="BG242" s="76"/>
    </row>
    <row r="243" spans="1:59" s="75" customFormat="1" x14ac:dyDescent="0.25">
      <c r="A243" s="76"/>
      <c r="E243" s="88"/>
      <c r="F243" s="88"/>
      <c r="G243" s="88"/>
      <c r="H243" s="88"/>
      <c r="I243" s="88"/>
      <c r="J243" s="88"/>
      <c r="AT243" s="112"/>
      <c r="AU243" s="112"/>
      <c r="AV243" s="4"/>
      <c r="BG243" s="76"/>
    </row>
    <row r="244" spans="1:59" s="75" customFormat="1" x14ac:dyDescent="0.25">
      <c r="A244" s="76"/>
      <c r="E244" s="88"/>
      <c r="F244" s="88"/>
      <c r="G244" s="88"/>
      <c r="H244" s="88"/>
      <c r="I244" s="88"/>
      <c r="J244" s="88"/>
      <c r="AT244" s="112"/>
      <c r="AU244" s="112"/>
      <c r="AV244" s="4"/>
      <c r="BG244" s="76"/>
    </row>
    <row r="245" spans="1:59" s="75" customFormat="1" x14ac:dyDescent="0.25">
      <c r="A245" s="76"/>
      <c r="E245" s="88"/>
      <c r="F245" s="88"/>
      <c r="G245" s="88"/>
      <c r="H245" s="88"/>
      <c r="I245" s="88"/>
      <c r="J245" s="88"/>
      <c r="AT245" s="112"/>
      <c r="AU245" s="112"/>
      <c r="AV245" s="4"/>
      <c r="BG245" s="76"/>
    </row>
    <row r="246" spans="1:59" s="75" customFormat="1" x14ac:dyDescent="0.25">
      <c r="A246" s="76"/>
      <c r="E246" s="88"/>
      <c r="F246" s="88"/>
      <c r="G246" s="88"/>
      <c r="H246" s="88"/>
      <c r="I246" s="88"/>
      <c r="J246" s="88"/>
      <c r="AT246" s="112"/>
      <c r="AU246" s="112"/>
      <c r="AV246" s="4"/>
      <c r="BG246" s="76"/>
    </row>
    <row r="247" spans="1:59" s="75" customFormat="1" x14ac:dyDescent="0.25">
      <c r="A247" s="76"/>
      <c r="E247" s="88"/>
      <c r="F247" s="88"/>
      <c r="G247" s="88"/>
      <c r="H247" s="88"/>
      <c r="I247" s="88"/>
      <c r="J247" s="88"/>
      <c r="AT247" s="112"/>
      <c r="AU247" s="112"/>
      <c r="AV247" s="4"/>
      <c r="BG247" s="76"/>
    </row>
    <row r="248" spans="1:59" s="75" customFormat="1" x14ac:dyDescent="0.25">
      <c r="A248" s="76"/>
      <c r="E248" s="88"/>
      <c r="F248" s="88"/>
      <c r="G248" s="88"/>
      <c r="H248" s="88"/>
      <c r="I248" s="88"/>
      <c r="J248" s="88"/>
      <c r="AT248" s="112"/>
      <c r="AU248" s="112"/>
      <c r="AV248" s="4"/>
      <c r="BG248" s="76"/>
    </row>
    <row r="249" spans="1:59" s="75" customFormat="1" x14ac:dyDescent="0.25">
      <c r="A249" s="76"/>
      <c r="E249" s="88"/>
      <c r="F249" s="88"/>
      <c r="G249" s="88"/>
      <c r="H249" s="88"/>
      <c r="I249" s="88"/>
      <c r="J249" s="88"/>
      <c r="AT249" s="112"/>
      <c r="AU249" s="112"/>
      <c r="AV249" s="4"/>
      <c r="BG249" s="76"/>
    </row>
    <row r="250" spans="1:59" s="75" customFormat="1" x14ac:dyDescent="0.25">
      <c r="A250" s="76"/>
      <c r="E250" s="88"/>
      <c r="F250" s="88"/>
      <c r="G250" s="88"/>
      <c r="H250" s="88"/>
      <c r="I250" s="88"/>
      <c r="J250" s="88"/>
      <c r="AT250" s="112"/>
      <c r="AU250" s="112"/>
      <c r="AV250" s="4"/>
      <c r="BG250" s="76"/>
    </row>
    <row r="251" spans="1:59" s="75" customFormat="1" x14ac:dyDescent="0.25">
      <c r="A251" s="76"/>
      <c r="E251" s="88"/>
      <c r="F251" s="88"/>
      <c r="G251" s="88"/>
      <c r="H251" s="88"/>
      <c r="I251" s="88"/>
      <c r="J251" s="88"/>
      <c r="AT251" s="112"/>
      <c r="AU251" s="112"/>
      <c r="AV251" s="4"/>
      <c r="BG251" s="76"/>
    </row>
    <row r="252" spans="1:59" s="75" customFormat="1" x14ac:dyDescent="0.25">
      <c r="A252" s="76"/>
      <c r="E252" s="88"/>
      <c r="F252" s="88"/>
      <c r="G252" s="88"/>
      <c r="H252" s="88"/>
      <c r="I252" s="88"/>
      <c r="J252" s="88"/>
      <c r="AT252" s="112"/>
      <c r="AU252" s="112"/>
      <c r="AV252" s="4"/>
      <c r="BG252" s="76"/>
    </row>
    <row r="253" spans="1:59" s="75" customFormat="1" x14ac:dyDescent="0.25">
      <c r="A253" s="76"/>
      <c r="E253" s="88"/>
      <c r="F253" s="88"/>
      <c r="G253" s="88"/>
      <c r="H253" s="88"/>
      <c r="I253" s="88"/>
      <c r="J253" s="88"/>
      <c r="AT253" s="112"/>
      <c r="AU253" s="112"/>
      <c r="AV253" s="4"/>
      <c r="BG253" s="76"/>
    </row>
    <row r="254" spans="1:59" s="75" customFormat="1" x14ac:dyDescent="0.25">
      <c r="A254" s="76"/>
      <c r="E254" s="88"/>
      <c r="F254" s="88"/>
      <c r="G254" s="88"/>
      <c r="H254" s="88"/>
      <c r="I254" s="88"/>
      <c r="J254" s="88"/>
      <c r="AT254" s="112"/>
      <c r="AU254" s="112"/>
      <c r="AV254" s="4"/>
      <c r="BG254" s="76"/>
    </row>
    <row r="255" spans="1:59" s="75" customFormat="1" x14ac:dyDescent="0.25">
      <c r="A255" s="76"/>
      <c r="E255" s="88"/>
      <c r="F255" s="88"/>
      <c r="G255" s="88"/>
      <c r="H255" s="88"/>
      <c r="I255" s="88"/>
      <c r="J255" s="88"/>
      <c r="AT255" s="112"/>
      <c r="AU255" s="112"/>
      <c r="AV255" s="4"/>
      <c r="BG255" s="76"/>
    </row>
    <row r="256" spans="1:59" s="75" customFormat="1" x14ac:dyDescent="0.25">
      <c r="A256" s="76"/>
      <c r="E256" s="88"/>
      <c r="F256" s="88"/>
      <c r="G256" s="88"/>
      <c r="H256" s="88"/>
      <c r="I256" s="88"/>
      <c r="J256" s="88"/>
      <c r="AT256" s="112"/>
      <c r="AU256" s="112"/>
      <c r="AV256" s="4"/>
      <c r="BG256" s="76"/>
    </row>
    <row r="257" spans="1:59" s="75" customFormat="1" x14ac:dyDescent="0.25">
      <c r="A257" s="76"/>
      <c r="E257" s="88"/>
      <c r="F257" s="88"/>
      <c r="G257" s="88"/>
      <c r="H257" s="88"/>
      <c r="I257" s="88"/>
      <c r="J257" s="88"/>
      <c r="AT257" s="112"/>
      <c r="AU257" s="112"/>
      <c r="AV257" s="4"/>
      <c r="BG257" s="76"/>
    </row>
    <row r="258" spans="1:59" s="75" customFormat="1" x14ac:dyDescent="0.25">
      <c r="A258" s="76"/>
      <c r="E258" s="88"/>
      <c r="F258" s="88"/>
      <c r="G258" s="88"/>
      <c r="H258" s="88"/>
      <c r="I258" s="88"/>
      <c r="J258" s="88"/>
      <c r="AT258" s="112"/>
      <c r="AU258" s="112"/>
      <c r="AV258" s="4"/>
      <c r="BG258" s="76"/>
    </row>
    <row r="259" spans="1:59" s="75" customFormat="1" x14ac:dyDescent="0.25">
      <c r="A259" s="76"/>
      <c r="E259" s="88"/>
      <c r="F259" s="88"/>
      <c r="G259" s="88"/>
      <c r="H259" s="88"/>
      <c r="I259" s="88"/>
      <c r="J259" s="88"/>
      <c r="AT259" s="112"/>
      <c r="AU259" s="112"/>
      <c r="AV259" s="4"/>
      <c r="BG259" s="76"/>
    </row>
    <row r="260" spans="1:59" s="75" customFormat="1" x14ac:dyDescent="0.25">
      <c r="A260" s="76"/>
      <c r="E260" s="88"/>
      <c r="F260" s="88"/>
      <c r="G260" s="88"/>
      <c r="H260" s="88"/>
      <c r="I260" s="88"/>
      <c r="J260" s="88"/>
      <c r="AT260" s="112"/>
      <c r="AU260" s="112"/>
      <c r="AV260" s="4"/>
      <c r="BG260" s="76"/>
    </row>
    <row r="261" spans="1:59" s="75" customFormat="1" x14ac:dyDescent="0.25">
      <c r="A261" s="76"/>
      <c r="E261" s="88"/>
      <c r="F261" s="88"/>
      <c r="G261" s="88"/>
      <c r="H261" s="88"/>
      <c r="I261" s="88"/>
      <c r="J261" s="88"/>
      <c r="AT261" s="112"/>
      <c r="AU261" s="112"/>
      <c r="AV261" s="4"/>
      <c r="BG261" s="76"/>
    </row>
    <row r="262" spans="1:59" s="75" customFormat="1" x14ac:dyDescent="0.25">
      <c r="A262" s="76"/>
      <c r="E262" s="88"/>
      <c r="F262" s="88"/>
      <c r="G262" s="88"/>
      <c r="H262" s="88"/>
      <c r="I262" s="88"/>
      <c r="J262" s="88"/>
      <c r="AT262" s="112"/>
      <c r="AU262" s="112"/>
      <c r="AV262" s="4"/>
      <c r="BG262" s="76"/>
    </row>
    <row r="263" spans="1:59" s="75" customFormat="1" x14ac:dyDescent="0.25">
      <c r="A263" s="76"/>
      <c r="E263" s="88"/>
      <c r="F263" s="88"/>
      <c r="G263" s="88"/>
      <c r="H263" s="88"/>
      <c r="I263" s="88"/>
      <c r="J263" s="88"/>
      <c r="AT263" s="112"/>
      <c r="AU263" s="112"/>
      <c r="AV263" s="4"/>
      <c r="BG263" s="76"/>
    </row>
    <row r="264" spans="1:59" s="75" customFormat="1" x14ac:dyDescent="0.25">
      <c r="A264" s="76"/>
      <c r="E264" s="88"/>
      <c r="F264" s="88"/>
      <c r="G264" s="88"/>
      <c r="H264" s="88"/>
      <c r="I264" s="88"/>
      <c r="J264" s="88"/>
      <c r="AT264" s="112"/>
      <c r="AU264" s="112"/>
      <c r="AV264" s="4"/>
      <c r="BG264" s="76"/>
    </row>
    <row r="265" spans="1:59" s="75" customFormat="1" x14ac:dyDescent="0.25">
      <c r="A265" s="76"/>
      <c r="E265" s="88"/>
      <c r="F265" s="88"/>
      <c r="G265" s="88"/>
      <c r="H265" s="88"/>
      <c r="I265" s="88"/>
      <c r="J265" s="88"/>
      <c r="AT265" s="112"/>
      <c r="AU265" s="112"/>
      <c r="AV265" s="4"/>
      <c r="BG265" s="76"/>
    </row>
    <row r="266" spans="1:59" s="75" customFormat="1" x14ac:dyDescent="0.25">
      <c r="A266" s="76"/>
      <c r="E266" s="88"/>
      <c r="F266" s="88"/>
      <c r="G266" s="88"/>
      <c r="H266" s="88"/>
      <c r="I266" s="88"/>
      <c r="J266" s="88"/>
      <c r="AT266" s="112"/>
      <c r="AU266" s="112"/>
      <c r="AV266" s="4"/>
      <c r="BG266" s="76"/>
    </row>
    <row r="267" spans="1:59" s="75" customFormat="1" x14ac:dyDescent="0.25">
      <c r="A267" s="76"/>
      <c r="E267" s="88"/>
      <c r="F267" s="88"/>
      <c r="G267" s="88"/>
      <c r="H267" s="88"/>
      <c r="I267" s="88"/>
      <c r="J267" s="88"/>
      <c r="AT267" s="112"/>
      <c r="AU267" s="112"/>
      <c r="AV267" s="4"/>
      <c r="BG267" s="76"/>
    </row>
    <row r="268" spans="1:59" s="75" customFormat="1" x14ac:dyDescent="0.25">
      <c r="A268" s="76"/>
      <c r="E268" s="88"/>
      <c r="F268" s="88"/>
      <c r="G268" s="88"/>
      <c r="H268" s="88"/>
      <c r="I268" s="88"/>
      <c r="J268" s="88"/>
      <c r="AT268" s="112"/>
      <c r="AU268" s="112"/>
      <c r="AV268" s="4"/>
      <c r="BG268" s="76"/>
    </row>
    <row r="269" spans="1:59" s="75" customFormat="1" x14ac:dyDescent="0.25">
      <c r="A269" s="76"/>
      <c r="E269" s="88"/>
      <c r="F269" s="88"/>
      <c r="G269" s="88"/>
      <c r="H269" s="88"/>
      <c r="I269" s="88"/>
      <c r="J269" s="88"/>
      <c r="AT269" s="112"/>
      <c r="AU269" s="112"/>
      <c r="AV269" s="4"/>
      <c r="BG269" s="76"/>
    </row>
    <row r="270" spans="1:59" s="75" customFormat="1" x14ac:dyDescent="0.25">
      <c r="A270" s="76"/>
      <c r="E270" s="88"/>
      <c r="F270" s="88"/>
      <c r="G270" s="88"/>
      <c r="H270" s="88"/>
      <c r="I270" s="88"/>
      <c r="J270" s="88"/>
      <c r="AT270" s="112"/>
      <c r="AU270" s="112"/>
      <c r="AV270" s="4"/>
      <c r="BG270" s="76"/>
    </row>
    <row r="271" spans="1:59" s="75" customFormat="1" x14ac:dyDescent="0.25">
      <c r="A271" s="76"/>
      <c r="E271" s="88"/>
      <c r="F271" s="88"/>
      <c r="G271" s="88"/>
      <c r="H271" s="88"/>
      <c r="I271" s="88"/>
      <c r="J271" s="88"/>
      <c r="AT271" s="112"/>
      <c r="AU271" s="112"/>
      <c r="AV271" s="4"/>
      <c r="BG271" s="76"/>
    </row>
    <row r="272" spans="1:59" s="75" customFormat="1" x14ac:dyDescent="0.25">
      <c r="A272" s="76"/>
      <c r="E272" s="88"/>
      <c r="F272" s="88"/>
      <c r="G272" s="88"/>
      <c r="H272" s="88"/>
      <c r="I272" s="88"/>
      <c r="J272" s="88"/>
      <c r="AT272" s="112"/>
      <c r="AU272" s="112"/>
      <c r="AV272" s="4"/>
      <c r="BG272" s="76"/>
    </row>
    <row r="273" spans="1:59" s="75" customFormat="1" x14ac:dyDescent="0.25">
      <c r="A273" s="76"/>
      <c r="E273" s="88"/>
      <c r="F273" s="88"/>
      <c r="G273" s="88"/>
      <c r="H273" s="88"/>
      <c r="I273" s="88"/>
      <c r="J273" s="88"/>
      <c r="AT273" s="112"/>
      <c r="AU273" s="112"/>
      <c r="AV273" s="4"/>
      <c r="BG273" s="76"/>
    </row>
    <row r="274" spans="1:59" s="75" customFormat="1" x14ac:dyDescent="0.25">
      <c r="A274" s="76"/>
      <c r="E274" s="88"/>
      <c r="F274" s="88"/>
      <c r="G274" s="88"/>
      <c r="H274" s="88"/>
      <c r="I274" s="88"/>
      <c r="J274" s="88"/>
      <c r="AT274" s="112"/>
      <c r="AU274" s="112"/>
      <c r="AV274" s="4"/>
      <c r="BG274" s="76"/>
    </row>
    <row r="275" spans="1:59" s="75" customFormat="1" x14ac:dyDescent="0.25">
      <c r="A275" s="76"/>
      <c r="E275" s="88"/>
      <c r="F275" s="88"/>
      <c r="G275" s="88"/>
      <c r="H275" s="88"/>
      <c r="I275" s="88"/>
      <c r="J275" s="88"/>
      <c r="AT275" s="112"/>
      <c r="AU275" s="112"/>
      <c r="AV275" s="4"/>
      <c r="BG275" s="76"/>
    </row>
    <row r="276" spans="1:59" s="75" customFormat="1" x14ac:dyDescent="0.25">
      <c r="A276" s="76"/>
      <c r="E276" s="88"/>
      <c r="F276" s="88"/>
      <c r="G276" s="88"/>
      <c r="H276" s="88"/>
      <c r="I276" s="88"/>
      <c r="J276" s="88"/>
      <c r="AT276" s="112"/>
      <c r="AU276" s="112"/>
      <c r="AV276" s="4"/>
      <c r="BG276" s="76"/>
    </row>
    <row r="277" spans="1:59" s="75" customFormat="1" x14ac:dyDescent="0.25">
      <c r="A277" s="76"/>
      <c r="E277" s="88"/>
      <c r="F277" s="88"/>
      <c r="G277" s="88"/>
      <c r="H277" s="88"/>
      <c r="I277" s="88"/>
      <c r="J277" s="88"/>
      <c r="AT277" s="112"/>
      <c r="AU277" s="112"/>
      <c r="AV277" s="4"/>
      <c r="BG277" s="76"/>
    </row>
    <row r="278" spans="1:59" s="75" customFormat="1" x14ac:dyDescent="0.25">
      <c r="A278" s="76"/>
      <c r="E278" s="88"/>
      <c r="F278" s="88"/>
      <c r="G278" s="88"/>
      <c r="H278" s="88"/>
      <c r="I278" s="88"/>
      <c r="J278" s="88"/>
      <c r="AT278" s="112"/>
      <c r="AU278" s="112"/>
      <c r="AV278" s="4"/>
      <c r="BG278" s="76"/>
    </row>
    <row r="279" spans="1:59" s="75" customFormat="1" x14ac:dyDescent="0.25">
      <c r="A279" s="76"/>
      <c r="E279" s="88"/>
      <c r="F279" s="88"/>
      <c r="G279" s="88"/>
      <c r="H279" s="88"/>
      <c r="I279" s="88"/>
      <c r="J279" s="88"/>
      <c r="AT279" s="112"/>
      <c r="AU279" s="112"/>
      <c r="AV279" s="4"/>
      <c r="BG279" s="76"/>
    </row>
    <row r="280" spans="1:59" s="75" customFormat="1" x14ac:dyDescent="0.25">
      <c r="A280" s="76"/>
      <c r="E280" s="88"/>
      <c r="F280" s="88"/>
      <c r="G280" s="88"/>
      <c r="H280" s="88"/>
      <c r="I280" s="88"/>
      <c r="J280" s="88"/>
      <c r="AT280" s="112"/>
      <c r="AU280" s="112"/>
      <c r="AV280" s="4"/>
      <c r="BG280" s="76"/>
    </row>
    <row r="281" spans="1:59" s="75" customFormat="1" x14ac:dyDescent="0.25">
      <c r="A281" s="76"/>
      <c r="E281" s="88"/>
      <c r="F281" s="88"/>
      <c r="G281" s="88"/>
      <c r="H281" s="88"/>
      <c r="I281" s="88"/>
      <c r="J281" s="88"/>
      <c r="AT281" s="112"/>
      <c r="AU281" s="112"/>
      <c r="AV281" s="4"/>
      <c r="BG281" s="76"/>
    </row>
    <row r="282" spans="1:59" s="75" customFormat="1" x14ac:dyDescent="0.25">
      <c r="A282" s="76"/>
      <c r="E282" s="88"/>
      <c r="F282" s="88"/>
      <c r="G282" s="88"/>
      <c r="H282" s="88"/>
      <c r="I282" s="88"/>
      <c r="J282" s="88"/>
      <c r="AT282" s="112"/>
      <c r="AU282" s="112"/>
      <c r="AV282" s="4"/>
      <c r="BG282" s="76"/>
    </row>
    <row r="283" spans="1:59" s="75" customFormat="1" x14ac:dyDescent="0.25">
      <c r="A283" s="76"/>
      <c r="E283" s="88"/>
      <c r="F283" s="88"/>
      <c r="G283" s="88"/>
      <c r="H283" s="88"/>
      <c r="I283" s="88"/>
      <c r="J283" s="88"/>
      <c r="AT283" s="112"/>
      <c r="AU283" s="112"/>
      <c r="AV283" s="4"/>
      <c r="BG283" s="76"/>
    </row>
    <row r="284" spans="1:59" s="75" customFormat="1" x14ac:dyDescent="0.25">
      <c r="A284" s="76"/>
      <c r="E284" s="88"/>
      <c r="F284" s="88"/>
      <c r="G284" s="88"/>
      <c r="H284" s="88"/>
      <c r="I284" s="88"/>
      <c r="J284" s="88"/>
      <c r="AT284" s="112"/>
      <c r="AU284" s="112"/>
      <c r="AV284" s="4"/>
      <c r="BG284" s="76"/>
    </row>
    <row r="285" spans="1:59" s="75" customFormat="1" x14ac:dyDescent="0.25">
      <c r="A285" s="76"/>
      <c r="E285" s="88"/>
      <c r="F285" s="88"/>
      <c r="G285" s="88"/>
      <c r="H285" s="88"/>
      <c r="I285" s="88"/>
      <c r="J285" s="88"/>
      <c r="AT285" s="112"/>
      <c r="AU285" s="112"/>
      <c r="AV285" s="4"/>
      <c r="BG285" s="76"/>
    </row>
    <row r="286" spans="1:59" s="75" customFormat="1" x14ac:dyDescent="0.25">
      <c r="A286" s="76"/>
      <c r="E286" s="88"/>
      <c r="F286" s="88"/>
      <c r="G286" s="88"/>
      <c r="H286" s="88"/>
      <c r="I286" s="88"/>
      <c r="J286" s="88"/>
      <c r="AT286" s="112"/>
      <c r="AU286" s="112"/>
      <c r="AV286" s="4"/>
      <c r="BG286" s="76"/>
    </row>
    <row r="287" spans="1:59" s="75" customFormat="1" x14ac:dyDescent="0.25">
      <c r="A287" s="76"/>
      <c r="E287" s="88"/>
      <c r="F287" s="88"/>
      <c r="G287" s="88"/>
      <c r="H287" s="88"/>
      <c r="I287" s="88"/>
      <c r="J287" s="88"/>
      <c r="AT287" s="112"/>
      <c r="AU287" s="112"/>
      <c r="AV287" s="4"/>
      <c r="BG287" s="76"/>
    </row>
    <row r="288" spans="1:59" s="75" customFormat="1" x14ac:dyDescent="0.25">
      <c r="A288" s="76"/>
      <c r="E288" s="88"/>
      <c r="F288" s="88"/>
      <c r="G288" s="88"/>
      <c r="H288" s="88"/>
      <c r="I288" s="88"/>
      <c r="J288" s="88"/>
      <c r="AT288" s="112"/>
      <c r="AU288" s="112"/>
      <c r="AV288" s="4"/>
      <c r="BG288" s="76"/>
    </row>
    <row r="289" spans="1:59" s="75" customFormat="1" x14ac:dyDescent="0.25">
      <c r="A289" s="76"/>
      <c r="E289" s="88"/>
      <c r="F289" s="88"/>
      <c r="G289" s="88"/>
      <c r="H289" s="88"/>
      <c r="I289" s="88"/>
      <c r="J289" s="88"/>
      <c r="AT289" s="112"/>
      <c r="AU289" s="112"/>
      <c r="AV289" s="4"/>
      <c r="BG289" s="76"/>
    </row>
    <row r="290" spans="1:59" s="75" customFormat="1" x14ac:dyDescent="0.25">
      <c r="A290" s="76"/>
      <c r="E290" s="88"/>
      <c r="F290" s="88"/>
      <c r="G290" s="88"/>
      <c r="H290" s="88"/>
      <c r="I290" s="88"/>
      <c r="J290" s="88"/>
      <c r="AT290" s="112"/>
      <c r="AU290" s="112"/>
      <c r="AV290" s="4"/>
      <c r="BG290" s="76"/>
    </row>
    <row r="291" spans="1:59" s="75" customFormat="1" x14ac:dyDescent="0.25">
      <c r="A291" s="76"/>
      <c r="E291" s="88"/>
      <c r="F291" s="88"/>
      <c r="G291" s="88"/>
      <c r="H291" s="88"/>
      <c r="I291" s="88"/>
      <c r="J291" s="88"/>
      <c r="AT291" s="112"/>
      <c r="AU291" s="112"/>
      <c r="AV291" s="4"/>
      <c r="BG291" s="76"/>
    </row>
    <row r="292" spans="1:59" s="75" customFormat="1" x14ac:dyDescent="0.25">
      <c r="A292" s="76"/>
      <c r="E292" s="88"/>
      <c r="F292" s="88"/>
      <c r="G292" s="88"/>
      <c r="H292" s="88"/>
      <c r="I292" s="88"/>
      <c r="J292" s="88"/>
      <c r="AT292" s="112"/>
      <c r="AU292" s="112"/>
      <c r="AV292" s="4"/>
      <c r="BG292" s="76"/>
    </row>
    <row r="293" spans="1:59" s="75" customFormat="1" x14ac:dyDescent="0.25">
      <c r="A293" s="76"/>
      <c r="E293" s="88"/>
      <c r="F293" s="88"/>
      <c r="G293" s="88"/>
      <c r="H293" s="88"/>
      <c r="I293" s="88"/>
      <c r="J293" s="88"/>
      <c r="AT293" s="112"/>
      <c r="AU293" s="112"/>
      <c r="AV293" s="4"/>
      <c r="BG293" s="76"/>
    </row>
    <row r="294" spans="1:59" s="75" customFormat="1" x14ac:dyDescent="0.25">
      <c r="A294" s="76"/>
      <c r="E294" s="88"/>
      <c r="F294" s="88"/>
      <c r="G294" s="88"/>
      <c r="H294" s="88"/>
      <c r="I294" s="88"/>
      <c r="J294" s="88"/>
      <c r="AT294" s="112"/>
      <c r="AU294" s="112"/>
      <c r="AV294" s="4"/>
      <c r="BG294" s="76"/>
    </row>
    <row r="295" spans="1:59" s="75" customFormat="1" x14ac:dyDescent="0.25">
      <c r="A295" s="76"/>
      <c r="E295" s="88"/>
      <c r="F295" s="88"/>
      <c r="G295" s="88"/>
      <c r="H295" s="88"/>
      <c r="I295" s="88"/>
      <c r="J295" s="88"/>
      <c r="AT295" s="112"/>
      <c r="AU295" s="112"/>
      <c r="AV295" s="4"/>
      <c r="BG295" s="76"/>
    </row>
    <row r="296" spans="1:59" s="75" customFormat="1" x14ac:dyDescent="0.25">
      <c r="A296" s="76"/>
      <c r="E296" s="88"/>
      <c r="F296" s="88"/>
      <c r="G296" s="88"/>
      <c r="H296" s="88"/>
      <c r="I296" s="88"/>
      <c r="J296" s="88"/>
      <c r="AT296" s="112"/>
      <c r="AU296" s="112"/>
      <c r="AV296" s="4"/>
      <c r="BG296" s="76"/>
    </row>
    <row r="297" spans="1:59" s="75" customFormat="1" x14ac:dyDescent="0.25">
      <c r="A297" s="76"/>
      <c r="E297" s="88"/>
      <c r="F297" s="88"/>
      <c r="G297" s="88"/>
      <c r="H297" s="88"/>
      <c r="I297" s="88"/>
      <c r="J297" s="88"/>
      <c r="AT297" s="112"/>
      <c r="AU297" s="112"/>
      <c r="AV297" s="4"/>
      <c r="BG297" s="76"/>
    </row>
    <row r="298" spans="1:59" s="75" customFormat="1" x14ac:dyDescent="0.25">
      <c r="A298" s="76"/>
      <c r="E298" s="88"/>
      <c r="F298" s="88"/>
      <c r="G298" s="88"/>
      <c r="H298" s="88"/>
      <c r="I298" s="88"/>
      <c r="J298" s="88"/>
      <c r="AT298" s="112"/>
      <c r="AU298" s="112"/>
      <c r="AV298" s="4"/>
      <c r="BG298" s="76"/>
    </row>
    <row r="299" spans="1:59" s="75" customFormat="1" x14ac:dyDescent="0.25">
      <c r="A299" s="76"/>
      <c r="E299" s="88"/>
      <c r="F299" s="88"/>
      <c r="G299" s="88"/>
      <c r="H299" s="88"/>
      <c r="I299" s="88"/>
      <c r="J299" s="88"/>
      <c r="AT299" s="112"/>
      <c r="AU299" s="112"/>
      <c r="AV299" s="4"/>
      <c r="BG299" s="76"/>
    </row>
    <row r="300" spans="1:59" s="75" customFormat="1" x14ac:dyDescent="0.25">
      <c r="A300" s="76"/>
      <c r="E300" s="88"/>
      <c r="F300" s="88"/>
      <c r="G300" s="88"/>
      <c r="H300" s="88"/>
      <c r="I300" s="88"/>
      <c r="J300" s="88"/>
      <c r="AT300" s="112"/>
      <c r="AU300" s="112"/>
      <c r="AV300" s="4"/>
      <c r="BG300" s="76"/>
    </row>
    <row r="301" spans="1:59" s="75" customFormat="1" x14ac:dyDescent="0.25">
      <c r="A301" s="76"/>
      <c r="E301" s="88"/>
      <c r="F301" s="88"/>
      <c r="G301" s="88"/>
      <c r="H301" s="88"/>
      <c r="I301" s="88"/>
      <c r="J301" s="88"/>
      <c r="AT301" s="112"/>
      <c r="AU301" s="112"/>
      <c r="AV301" s="4"/>
      <c r="BG301" s="76"/>
    </row>
    <row r="302" spans="1:59" s="75" customFormat="1" x14ac:dyDescent="0.25">
      <c r="A302" s="76"/>
      <c r="E302" s="88"/>
      <c r="F302" s="88"/>
      <c r="G302" s="88"/>
      <c r="H302" s="88"/>
      <c r="I302" s="88"/>
      <c r="J302" s="88"/>
      <c r="AT302" s="112"/>
      <c r="AU302" s="112"/>
      <c r="AV302" s="4"/>
      <c r="BG302" s="76"/>
    </row>
    <row r="303" spans="1:59" s="75" customFormat="1" x14ac:dyDescent="0.25">
      <c r="A303" s="76"/>
      <c r="E303" s="88"/>
      <c r="F303" s="88"/>
      <c r="G303" s="88"/>
      <c r="H303" s="88"/>
      <c r="I303" s="88"/>
      <c r="J303" s="88"/>
      <c r="AT303" s="112"/>
      <c r="AU303" s="112"/>
      <c r="AV303" s="4"/>
      <c r="BG303" s="76"/>
    </row>
    <row r="304" spans="1:59" s="75" customFormat="1" x14ac:dyDescent="0.25">
      <c r="A304" s="76"/>
      <c r="E304" s="88"/>
      <c r="F304" s="88"/>
      <c r="G304" s="88"/>
      <c r="H304" s="88"/>
      <c r="I304" s="88"/>
      <c r="J304" s="88"/>
      <c r="AT304" s="112"/>
      <c r="AU304" s="112"/>
      <c r="AV304" s="4"/>
      <c r="BG304" s="76"/>
    </row>
    <row r="305" spans="1:59" s="75" customFormat="1" x14ac:dyDescent="0.25">
      <c r="A305" s="76"/>
      <c r="E305" s="88"/>
      <c r="F305" s="88"/>
      <c r="G305" s="88"/>
      <c r="H305" s="88"/>
      <c r="I305" s="88"/>
      <c r="J305" s="88"/>
      <c r="AT305" s="112"/>
      <c r="AU305" s="112"/>
      <c r="AV305" s="4"/>
      <c r="BG305" s="76"/>
    </row>
    <row r="306" spans="1:59" s="75" customFormat="1" x14ac:dyDescent="0.25">
      <c r="A306" s="76"/>
      <c r="E306" s="88"/>
      <c r="F306" s="88"/>
      <c r="G306" s="88"/>
      <c r="H306" s="88"/>
      <c r="I306" s="88"/>
      <c r="J306" s="88"/>
      <c r="AT306" s="112"/>
      <c r="AU306" s="112"/>
      <c r="AV306" s="4"/>
      <c r="BG306" s="76"/>
    </row>
    <row r="307" spans="1:59" s="75" customFormat="1" x14ac:dyDescent="0.25">
      <c r="A307" s="76"/>
      <c r="E307" s="88"/>
      <c r="F307" s="88"/>
      <c r="G307" s="88"/>
      <c r="H307" s="88"/>
      <c r="I307" s="88"/>
      <c r="J307" s="88"/>
      <c r="AT307" s="112"/>
      <c r="AU307" s="112"/>
      <c r="AV307" s="4"/>
      <c r="BG307" s="76"/>
    </row>
    <row r="308" spans="1:59" s="75" customFormat="1" x14ac:dyDescent="0.25">
      <c r="A308" s="76"/>
      <c r="E308" s="88"/>
      <c r="F308" s="88"/>
      <c r="G308" s="88"/>
      <c r="H308" s="88"/>
      <c r="I308" s="88"/>
      <c r="J308" s="88"/>
      <c r="AT308" s="112"/>
      <c r="AU308" s="112"/>
      <c r="AV308" s="4"/>
      <c r="BG308" s="76"/>
    </row>
    <row r="309" spans="1:59" s="75" customFormat="1" x14ac:dyDescent="0.25">
      <c r="A309" s="76"/>
      <c r="E309" s="88"/>
      <c r="F309" s="88"/>
      <c r="G309" s="88"/>
      <c r="H309" s="88"/>
      <c r="I309" s="88"/>
      <c r="J309" s="88"/>
      <c r="AT309" s="112"/>
      <c r="AU309" s="112"/>
      <c r="AV309" s="4"/>
      <c r="BG309" s="76"/>
    </row>
    <row r="310" spans="1:59" s="75" customFormat="1" x14ac:dyDescent="0.25">
      <c r="A310" s="76"/>
      <c r="E310" s="88"/>
      <c r="F310" s="88"/>
      <c r="G310" s="88"/>
      <c r="H310" s="88"/>
      <c r="I310" s="88"/>
      <c r="J310" s="88"/>
      <c r="AT310" s="112"/>
      <c r="AU310" s="112"/>
      <c r="AV310" s="4"/>
      <c r="BG310" s="76"/>
    </row>
    <row r="311" spans="1:59" s="75" customFormat="1" x14ac:dyDescent="0.25">
      <c r="A311" s="76"/>
      <c r="E311" s="88"/>
      <c r="F311" s="88"/>
      <c r="G311" s="88"/>
      <c r="H311" s="88"/>
      <c r="I311" s="88"/>
      <c r="J311" s="88"/>
      <c r="AT311" s="112"/>
      <c r="AU311" s="112"/>
      <c r="AV311" s="4"/>
      <c r="BG311" s="76"/>
    </row>
    <row r="312" spans="1:59" s="75" customFormat="1" x14ac:dyDescent="0.25">
      <c r="A312" s="76"/>
      <c r="E312" s="88"/>
      <c r="F312" s="88"/>
      <c r="G312" s="88"/>
      <c r="H312" s="88"/>
      <c r="I312" s="88"/>
      <c r="J312" s="88"/>
      <c r="AT312" s="112"/>
      <c r="AU312" s="112"/>
      <c r="AV312" s="4"/>
      <c r="BG312" s="76"/>
    </row>
    <row r="313" spans="1:59" s="75" customFormat="1" x14ac:dyDescent="0.25">
      <c r="A313" s="76"/>
      <c r="E313" s="88"/>
      <c r="F313" s="88"/>
      <c r="G313" s="88"/>
      <c r="H313" s="88"/>
      <c r="I313" s="88"/>
      <c r="J313" s="88"/>
      <c r="AT313" s="112"/>
      <c r="AU313" s="112"/>
      <c r="AV313" s="4"/>
      <c r="BG313" s="76"/>
    </row>
    <row r="314" spans="1:59" s="75" customFormat="1" x14ac:dyDescent="0.25">
      <c r="A314" s="76"/>
      <c r="E314" s="88"/>
      <c r="F314" s="88"/>
      <c r="G314" s="88"/>
      <c r="H314" s="88"/>
      <c r="I314" s="88"/>
      <c r="J314" s="88"/>
      <c r="AT314" s="112"/>
      <c r="AU314" s="112"/>
      <c r="AV314" s="4"/>
      <c r="BG314" s="76"/>
    </row>
    <row r="315" spans="1:59" s="75" customFormat="1" x14ac:dyDescent="0.25">
      <c r="A315" s="76"/>
      <c r="E315" s="88"/>
      <c r="F315" s="88"/>
      <c r="G315" s="88"/>
      <c r="H315" s="88"/>
      <c r="I315" s="88"/>
      <c r="J315" s="88"/>
      <c r="AT315" s="112"/>
      <c r="AU315" s="112"/>
      <c r="AV315" s="4"/>
      <c r="BG315" s="76"/>
    </row>
    <row r="316" spans="1:59" s="75" customFormat="1" x14ac:dyDescent="0.25">
      <c r="A316" s="76"/>
      <c r="E316" s="88"/>
      <c r="F316" s="88"/>
      <c r="G316" s="88"/>
      <c r="H316" s="88"/>
      <c r="I316" s="88"/>
      <c r="J316" s="88"/>
      <c r="AT316" s="112"/>
      <c r="AU316" s="112"/>
      <c r="AV316" s="4"/>
      <c r="BG316" s="76"/>
    </row>
    <row r="317" spans="1:59" s="75" customFormat="1" x14ac:dyDescent="0.25">
      <c r="A317" s="76"/>
      <c r="E317" s="88"/>
      <c r="F317" s="88"/>
      <c r="G317" s="88"/>
      <c r="H317" s="88"/>
      <c r="I317" s="88"/>
      <c r="J317" s="88"/>
      <c r="AT317" s="112"/>
      <c r="AU317" s="112"/>
      <c r="AV317" s="4"/>
      <c r="BG317" s="76"/>
    </row>
    <row r="318" spans="1:59" s="75" customFormat="1" x14ac:dyDescent="0.25">
      <c r="A318" s="76"/>
      <c r="E318" s="88"/>
      <c r="F318" s="88"/>
      <c r="G318" s="88"/>
      <c r="H318" s="88"/>
      <c r="I318" s="88"/>
      <c r="J318" s="88"/>
      <c r="AT318" s="112"/>
      <c r="AU318" s="112"/>
      <c r="AV318" s="4"/>
      <c r="BG318" s="76"/>
    </row>
    <row r="319" spans="1:59" s="75" customFormat="1" x14ac:dyDescent="0.25">
      <c r="A319" s="76"/>
      <c r="E319" s="88"/>
      <c r="F319" s="88"/>
      <c r="G319" s="88"/>
      <c r="H319" s="88"/>
      <c r="I319" s="88"/>
      <c r="J319" s="88"/>
      <c r="AT319" s="112"/>
      <c r="AU319" s="112"/>
      <c r="AV319" s="4"/>
      <c r="BG319" s="76"/>
    </row>
    <row r="320" spans="1:59" s="75" customFormat="1" x14ac:dyDescent="0.25">
      <c r="A320" s="76"/>
      <c r="E320" s="88"/>
      <c r="F320" s="88"/>
      <c r="G320" s="88"/>
      <c r="H320" s="88"/>
      <c r="I320" s="88"/>
      <c r="J320" s="88"/>
      <c r="AT320" s="112"/>
      <c r="AU320" s="112"/>
      <c r="AV320" s="4"/>
      <c r="BG320" s="76"/>
    </row>
    <row r="321" spans="1:59" s="75" customFormat="1" x14ac:dyDescent="0.25">
      <c r="A321" s="76"/>
      <c r="E321" s="88"/>
      <c r="F321" s="88"/>
      <c r="G321" s="88"/>
      <c r="H321" s="88"/>
      <c r="I321" s="88"/>
      <c r="J321" s="88"/>
      <c r="AT321" s="112"/>
      <c r="AU321" s="112"/>
      <c r="AV321" s="4"/>
      <c r="BG321" s="76"/>
    </row>
    <row r="322" spans="1:59" s="75" customFormat="1" x14ac:dyDescent="0.25">
      <c r="A322" s="76"/>
      <c r="E322" s="88"/>
      <c r="F322" s="88"/>
      <c r="G322" s="88"/>
      <c r="H322" s="88"/>
      <c r="I322" s="88"/>
      <c r="J322" s="88"/>
      <c r="AT322" s="112"/>
      <c r="AU322" s="112"/>
      <c r="AV322" s="4"/>
      <c r="BG322" s="76"/>
    </row>
    <row r="323" spans="1:59" s="75" customFormat="1" x14ac:dyDescent="0.25">
      <c r="A323" s="76"/>
      <c r="E323" s="88"/>
      <c r="F323" s="88"/>
      <c r="G323" s="88"/>
      <c r="H323" s="88"/>
      <c r="I323" s="88"/>
      <c r="J323" s="88"/>
      <c r="AT323" s="112"/>
      <c r="AU323" s="112"/>
      <c r="AV323" s="4"/>
      <c r="BG323" s="76"/>
    </row>
    <row r="324" spans="1:59" s="75" customFormat="1" x14ac:dyDescent="0.25">
      <c r="A324" s="76"/>
      <c r="E324" s="88"/>
      <c r="F324" s="88"/>
      <c r="G324" s="88"/>
      <c r="H324" s="88"/>
      <c r="I324" s="88"/>
      <c r="J324" s="88"/>
      <c r="AT324" s="112"/>
      <c r="AU324" s="112"/>
      <c r="AV324" s="4"/>
      <c r="BG324" s="76"/>
    </row>
    <row r="325" spans="1:59" s="75" customFormat="1" x14ac:dyDescent="0.25">
      <c r="A325" s="76"/>
      <c r="E325" s="88"/>
      <c r="F325" s="88"/>
      <c r="G325" s="88"/>
      <c r="H325" s="88"/>
      <c r="I325" s="88"/>
      <c r="J325" s="88"/>
      <c r="AT325" s="112"/>
      <c r="AU325" s="112"/>
      <c r="AV325" s="4"/>
      <c r="BG325" s="76"/>
    </row>
    <row r="326" spans="1:59" s="75" customFormat="1" x14ac:dyDescent="0.25">
      <c r="A326" s="76"/>
      <c r="E326" s="88"/>
      <c r="F326" s="88"/>
      <c r="G326" s="88"/>
      <c r="H326" s="88"/>
      <c r="I326" s="88"/>
      <c r="J326" s="88"/>
      <c r="AT326" s="112"/>
      <c r="AU326" s="112"/>
      <c r="AV326" s="4"/>
      <c r="BG326" s="76"/>
    </row>
    <row r="327" spans="1:59" s="75" customFormat="1" x14ac:dyDescent="0.25">
      <c r="A327" s="76"/>
      <c r="E327" s="88"/>
      <c r="F327" s="88"/>
      <c r="G327" s="88"/>
      <c r="H327" s="88"/>
      <c r="I327" s="88"/>
      <c r="J327" s="88"/>
      <c r="AT327" s="112"/>
      <c r="AU327" s="112"/>
      <c r="AV327" s="4"/>
      <c r="BG327" s="76"/>
    </row>
    <row r="328" spans="1:59" s="75" customFormat="1" x14ac:dyDescent="0.25">
      <c r="A328" s="76"/>
      <c r="E328" s="88"/>
      <c r="F328" s="88"/>
      <c r="G328" s="88"/>
      <c r="H328" s="88"/>
      <c r="I328" s="88"/>
      <c r="J328" s="88"/>
      <c r="AT328" s="112"/>
      <c r="AU328" s="112"/>
      <c r="AV328" s="4"/>
      <c r="BG328" s="76"/>
    </row>
    <row r="329" spans="1:59" s="75" customFormat="1" x14ac:dyDescent="0.25">
      <c r="A329" s="76"/>
      <c r="E329" s="88"/>
      <c r="F329" s="88"/>
      <c r="G329" s="88"/>
      <c r="H329" s="88"/>
      <c r="I329" s="88"/>
      <c r="J329" s="88"/>
      <c r="AT329" s="112"/>
      <c r="AU329" s="112"/>
      <c r="AV329" s="4"/>
      <c r="BG329" s="76"/>
    </row>
    <row r="330" spans="1:59" s="75" customFormat="1" x14ac:dyDescent="0.25">
      <c r="A330" s="76"/>
      <c r="E330" s="88"/>
      <c r="F330" s="88"/>
      <c r="G330" s="88"/>
      <c r="H330" s="88"/>
      <c r="I330" s="88"/>
      <c r="J330" s="88"/>
      <c r="AT330" s="112"/>
      <c r="AU330" s="112"/>
      <c r="AV330" s="4"/>
      <c r="BG330" s="76"/>
    </row>
    <row r="331" spans="1:59" s="75" customFormat="1" x14ac:dyDescent="0.25">
      <c r="A331" s="76"/>
      <c r="E331" s="88"/>
      <c r="F331" s="88"/>
      <c r="G331" s="88"/>
      <c r="H331" s="88"/>
      <c r="I331" s="88"/>
      <c r="J331" s="88"/>
      <c r="AT331" s="112"/>
      <c r="AU331" s="112"/>
      <c r="AV331" s="4"/>
      <c r="BG331" s="76"/>
    </row>
    <row r="332" spans="1:59" s="75" customFormat="1" x14ac:dyDescent="0.25">
      <c r="A332" s="76"/>
      <c r="E332" s="88"/>
      <c r="F332" s="88"/>
      <c r="G332" s="88"/>
      <c r="H332" s="88"/>
      <c r="I332" s="88"/>
      <c r="J332" s="88"/>
      <c r="AT332" s="112"/>
      <c r="AU332" s="112"/>
      <c r="AV332" s="4"/>
      <c r="BG332" s="76"/>
    </row>
    <row r="333" spans="1:59" s="75" customFormat="1" x14ac:dyDescent="0.25">
      <c r="A333" s="76"/>
      <c r="E333" s="88"/>
      <c r="F333" s="88"/>
      <c r="G333" s="88"/>
      <c r="H333" s="88"/>
      <c r="I333" s="88"/>
      <c r="J333" s="88"/>
      <c r="AT333" s="112"/>
      <c r="AU333" s="112"/>
      <c r="AV333" s="4"/>
      <c r="BG333" s="76"/>
    </row>
    <row r="334" spans="1:59" s="75" customFormat="1" x14ac:dyDescent="0.25">
      <c r="A334" s="76"/>
      <c r="E334" s="88"/>
      <c r="F334" s="88"/>
      <c r="G334" s="88"/>
      <c r="H334" s="88"/>
      <c r="I334" s="88"/>
      <c r="J334" s="88"/>
      <c r="AT334" s="112"/>
      <c r="AU334" s="112"/>
      <c r="AV334" s="4"/>
      <c r="BG334" s="76"/>
    </row>
    <row r="335" spans="1:59" s="75" customFormat="1" x14ac:dyDescent="0.25">
      <c r="A335" s="76"/>
      <c r="E335" s="88"/>
      <c r="F335" s="88"/>
      <c r="G335" s="88"/>
      <c r="H335" s="88"/>
      <c r="I335" s="88"/>
      <c r="J335" s="88"/>
      <c r="AT335" s="112"/>
      <c r="AU335" s="112"/>
      <c r="AV335" s="4"/>
      <c r="BG335" s="76"/>
    </row>
    <row r="336" spans="1:59" s="75" customFormat="1" x14ac:dyDescent="0.25">
      <c r="A336" s="76"/>
      <c r="E336" s="88"/>
      <c r="F336" s="88"/>
      <c r="G336" s="88"/>
      <c r="H336" s="88"/>
      <c r="I336" s="88"/>
      <c r="J336" s="88"/>
      <c r="AT336" s="112"/>
      <c r="AU336" s="112"/>
      <c r="AV336" s="4"/>
      <c r="BG336" s="76"/>
    </row>
    <row r="337" spans="1:59" s="75" customFormat="1" x14ac:dyDescent="0.25">
      <c r="A337" s="76"/>
      <c r="E337" s="88"/>
      <c r="F337" s="88"/>
      <c r="G337" s="88"/>
      <c r="H337" s="88"/>
      <c r="I337" s="88"/>
      <c r="J337" s="88"/>
      <c r="AT337" s="112"/>
      <c r="AU337" s="112"/>
      <c r="AV337" s="4"/>
      <c r="BG337" s="76"/>
    </row>
    <row r="338" spans="1:59" s="75" customFormat="1" x14ac:dyDescent="0.25">
      <c r="A338" s="76"/>
      <c r="E338" s="88"/>
      <c r="F338" s="88"/>
      <c r="G338" s="88"/>
      <c r="H338" s="88"/>
      <c r="I338" s="88"/>
      <c r="J338" s="88"/>
      <c r="AT338" s="112"/>
      <c r="AU338" s="112"/>
      <c r="AV338" s="4"/>
      <c r="BG338" s="76"/>
    </row>
    <row r="339" spans="1:59" s="75" customFormat="1" x14ac:dyDescent="0.25">
      <c r="A339" s="76"/>
      <c r="E339" s="88"/>
      <c r="F339" s="88"/>
      <c r="G339" s="88"/>
      <c r="H339" s="88"/>
      <c r="I339" s="88"/>
      <c r="J339" s="88"/>
      <c r="AT339" s="112"/>
      <c r="AU339" s="112"/>
      <c r="AV339" s="4"/>
      <c r="BG339" s="76"/>
    </row>
    <row r="340" spans="1:59" s="75" customFormat="1" x14ac:dyDescent="0.25">
      <c r="A340" s="76"/>
      <c r="E340" s="88"/>
      <c r="F340" s="88"/>
      <c r="G340" s="88"/>
      <c r="H340" s="88"/>
      <c r="I340" s="88"/>
      <c r="J340" s="88"/>
      <c r="AT340" s="112"/>
      <c r="AU340" s="112"/>
      <c r="AV340" s="4"/>
      <c r="BG340" s="76"/>
    </row>
    <row r="341" spans="1:59" s="75" customFormat="1" x14ac:dyDescent="0.25">
      <c r="A341" s="76"/>
      <c r="E341" s="88"/>
      <c r="F341" s="88"/>
      <c r="G341" s="88"/>
      <c r="H341" s="88"/>
      <c r="I341" s="88"/>
      <c r="J341" s="88"/>
      <c r="AT341" s="112"/>
      <c r="AU341" s="112"/>
      <c r="AV341" s="4"/>
      <c r="BG341" s="76"/>
    </row>
    <row r="342" spans="1:59" s="75" customFormat="1" x14ac:dyDescent="0.25">
      <c r="A342" s="76"/>
      <c r="E342" s="88"/>
      <c r="F342" s="88"/>
      <c r="G342" s="88"/>
      <c r="H342" s="88"/>
      <c r="I342" s="88"/>
      <c r="J342" s="88"/>
      <c r="AT342" s="112"/>
      <c r="AU342" s="112"/>
      <c r="AV342" s="4"/>
      <c r="BG342" s="76"/>
    </row>
    <row r="343" spans="1:59" s="75" customFormat="1" x14ac:dyDescent="0.25">
      <c r="A343" s="76"/>
      <c r="E343" s="88"/>
      <c r="F343" s="88"/>
      <c r="G343" s="88"/>
      <c r="H343" s="88"/>
      <c r="I343" s="88"/>
      <c r="J343" s="88"/>
      <c r="AT343" s="112"/>
      <c r="AU343" s="112"/>
      <c r="AV343" s="4"/>
      <c r="BG343" s="76"/>
    </row>
    <row r="344" spans="1:59" s="75" customFormat="1" x14ac:dyDescent="0.25">
      <c r="A344" s="76"/>
      <c r="E344" s="88"/>
      <c r="F344" s="88"/>
      <c r="G344" s="88"/>
      <c r="H344" s="88"/>
      <c r="I344" s="88"/>
      <c r="J344" s="88"/>
      <c r="AT344" s="112"/>
      <c r="AU344" s="112"/>
      <c r="AV344" s="4"/>
      <c r="BG344" s="76"/>
    </row>
    <row r="345" spans="1:59" s="75" customFormat="1" x14ac:dyDescent="0.25">
      <c r="A345" s="76"/>
      <c r="E345" s="88"/>
      <c r="F345" s="88"/>
      <c r="G345" s="88"/>
      <c r="H345" s="88"/>
      <c r="I345" s="88"/>
      <c r="J345" s="88"/>
      <c r="AT345" s="112"/>
      <c r="AU345" s="112"/>
      <c r="AV345" s="4"/>
      <c r="BG345" s="76"/>
    </row>
    <row r="346" spans="1:59" s="75" customFormat="1" x14ac:dyDescent="0.25">
      <c r="A346" s="76"/>
      <c r="E346" s="88"/>
      <c r="F346" s="88"/>
      <c r="G346" s="88"/>
      <c r="H346" s="88"/>
      <c r="I346" s="88"/>
      <c r="J346" s="88"/>
      <c r="AT346" s="112"/>
      <c r="AU346" s="112"/>
      <c r="AV346" s="4"/>
      <c r="BG346" s="76"/>
    </row>
    <row r="347" spans="1:59" s="75" customFormat="1" x14ac:dyDescent="0.25">
      <c r="A347" s="76"/>
      <c r="E347" s="88"/>
      <c r="F347" s="88"/>
      <c r="G347" s="88"/>
      <c r="H347" s="88"/>
      <c r="I347" s="88"/>
      <c r="J347" s="88"/>
      <c r="AT347" s="112"/>
      <c r="AU347" s="112"/>
      <c r="AV347" s="4"/>
      <c r="BG347" s="76"/>
    </row>
    <row r="348" spans="1:59" s="75" customFormat="1" x14ac:dyDescent="0.25">
      <c r="A348" s="76"/>
      <c r="E348" s="88"/>
      <c r="F348" s="88"/>
      <c r="G348" s="88"/>
      <c r="H348" s="88"/>
      <c r="I348" s="88"/>
      <c r="J348" s="88"/>
      <c r="AT348" s="112"/>
      <c r="AU348" s="112"/>
      <c r="AV348" s="4"/>
      <c r="BG348" s="76"/>
    </row>
    <row r="349" spans="1:59" s="75" customFormat="1" x14ac:dyDescent="0.25">
      <c r="A349" s="76"/>
      <c r="E349" s="88"/>
      <c r="F349" s="88"/>
      <c r="G349" s="88"/>
      <c r="H349" s="88"/>
      <c r="I349" s="88"/>
      <c r="J349" s="88"/>
      <c r="AT349" s="112"/>
      <c r="AU349" s="112"/>
      <c r="AV349" s="4"/>
      <c r="BG349" s="76"/>
    </row>
    <row r="350" spans="1:59" s="75" customFormat="1" x14ac:dyDescent="0.25">
      <c r="A350" s="76"/>
      <c r="E350" s="88"/>
      <c r="F350" s="88"/>
      <c r="G350" s="88"/>
      <c r="H350" s="88"/>
      <c r="I350" s="88"/>
      <c r="J350" s="88"/>
      <c r="AT350" s="112"/>
      <c r="AU350" s="112"/>
      <c r="AV350" s="4"/>
      <c r="BG350" s="76"/>
    </row>
    <row r="351" spans="1:59" s="75" customFormat="1" x14ac:dyDescent="0.25">
      <c r="A351" s="76"/>
      <c r="E351" s="88"/>
      <c r="F351" s="88"/>
      <c r="G351" s="88"/>
      <c r="H351" s="88"/>
      <c r="I351" s="88"/>
      <c r="J351" s="88"/>
      <c r="AT351" s="112"/>
      <c r="AU351" s="112"/>
      <c r="AV351" s="4"/>
      <c r="BG351" s="76"/>
    </row>
    <row r="352" spans="1:59" s="75" customFormat="1" x14ac:dyDescent="0.25">
      <c r="A352" s="76"/>
      <c r="E352" s="88"/>
      <c r="F352" s="88"/>
      <c r="G352" s="88"/>
      <c r="H352" s="88"/>
      <c r="I352" s="88"/>
      <c r="J352" s="88"/>
      <c r="AT352" s="112"/>
      <c r="AU352" s="112"/>
      <c r="AV352" s="4"/>
      <c r="BG352" s="76"/>
    </row>
    <row r="353" spans="1:59" s="75" customFormat="1" x14ac:dyDescent="0.25">
      <c r="A353" s="76"/>
      <c r="E353" s="88"/>
      <c r="F353" s="88"/>
      <c r="G353" s="88"/>
      <c r="H353" s="88"/>
      <c r="I353" s="88"/>
      <c r="J353" s="88"/>
      <c r="AT353" s="112"/>
      <c r="AU353" s="112"/>
      <c r="AV353" s="4"/>
      <c r="BG353" s="76"/>
    </row>
    <row r="354" spans="1:59" s="75" customFormat="1" x14ac:dyDescent="0.25">
      <c r="A354" s="76"/>
      <c r="E354" s="88"/>
      <c r="F354" s="88"/>
      <c r="G354" s="88"/>
      <c r="H354" s="88"/>
      <c r="I354" s="88"/>
      <c r="J354" s="88"/>
      <c r="AT354" s="112"/>
      <c r="AU354" s="112"/>
      <c r="AV354" s="4"/>
      <c r="BG354" s="76"/>
    </row>
    <row r="355" spans="1:59" s="75" customFormat="1" x14ac:dyDescent="0.25">
      <c r="A355" s="76"/>
      <c r="E355" s="88"/>
      <c r="F355" s="88"/>
      <c r="G355" s="88"/>
      <c r="H355" s="88"/>
      <c r="I355" s="88"/>
      <c r="J355" s="88"/>
      <c r="AT355" s="112"/>
      <c r="AU355" s="112"/>
      <c r="AV355" s="4"/>
      <c r="BG355" s="76"/>
    </row>
    <row r="356" spans="1:59" s="75" customFormat="1" x14ac:dyDescent="0.25">
      <c r="A356" s="76"/>
      <c r="E356" s="88"/>
      <c r="F356" s="88"/>
      <c r="G356" s="88"/>
      <c r="H356" s="88"/>
      <c r="I356" s="88"/>
      <c r="J356" s="88"/>
      <c r="AT356" s="112"/>
      <c r="AU356" s="112"/>
      <c r="AV356" s="4"/>
      <c r="BG356" s="76"/>
    </row>
    <row r="357" spans="1:59" s="75" customFormat="1" x14ac:dyDescent="0.25">
      <c r="A357" s="76"/>
      <c r="E357" s="88"/>
      <c r="F357" s="88"/>
      <c r="G357" s="88"/>
      <c r="H357" s="88"/>
      <c r="I357" s="88"/>
      <c r="J357" s="88"/>
      <c r="AT357" s="112"/>
      <c r="AU357" s="112"/>
      <c r="AV357" s="4"/>
      <c r="BG357" s="76"/>
    </row>
    <row r="358" spans="1:59" s="75" customFormat="1" x14ac:dyDescent="0.25">
      <c r="A358" s="76"/>
      <c r="E358" s="88"/>
      <c r="F358" s="88"/>
      <c r="G358" s="88"/>
      <c r="H358" s="88"/>
      <c r="I358" s="88"/>
      <c r="J358" s="88"/>
      <c r="AT358" s="112"/>
      <c r="AU358" s="112"/>
      <c r="AV358" s="4"/>
      <c r="BG358" s="76"/>
    </row>
    <row r="359" spans="1:59" s="75" customFormat="1" x14ac:dyDescent="0.25">
      <c r="A359" s="76"/>
      <c r="E359" s="88"/>
      <c r="F359" s="88"/>
      <c r="G359" s="88"/>
      <c r="H359" s="88"/>
      <c r="I359" s="88"/>
      <c r="J359" s="88"/>
      <c r="AT359" s="112"/>
      <c r="AU359" s="112"/>
      <c r="AV359" s="4"/>
      <c r="BG359" s="76"/>
    </row>
    <row r="360" spans="1:59" s="75" customFormat="1" x14ac:dyDescent="0.25">
      <c r="A360" s="76"/>
      <c r="E360" s="88"/>
      <c r="F360" s="88"/>
      <c r="G360" s="88"/>
      <c r="H360" s="88"/>
      <c r="I360" s="88"/>
      <c r="J360" s="88"/>
      <c r="AT360" s="112"/>
      <c r="AU360" s="112"/>
      <c r="AV360" s="4"/>
      <c r="BG360" s="76"/>
    </row>
    <row r="361" spans="1:59" s="75" customFormat="1" x14ac:dyDescent="0.25">
      <c r="A361" s="76"/>
      <c r="E361" s="88"/>
      <c r="F361" s="88"/>
      <c r="G361" s="88"/>
      <c r="H361" s="88"/>
      <c r="I361" s="88"/>
      <c r="J361" s="88"/>
      <c r="AT361" s="112"/>
      <c r="AU361" s="112"/>
      <c r="AV361" s="4"/>
      <c r="BG361" s="76"/>
    </row>
    <row r="362" spans="1:59" s="75" customFormat="1" x14ac:dyDescent="0.25">
      <c r="A362" s="76"/>
      <c r="E362" s="88"/>
      <c r="F362" s="88"/>
      <c r="G362" s="88"/>
      <c r="H362" s="88"/>
      <c r="I362" s="88"/>
      <c r="J362" s="88"/>
      <c r="AT362" s="112"/>
      <c r="AU362" s="112"/>
      <c r="AV362" s="4"/>
      <c r="BG362" s="76"/>
    </row>
    <row r="363" spans="1:59" s="75" customFormat="1" x14ac:dyDescent="0.25">
      <c r="A363" s="76"/>
      <c r="E363" s="88"/>
      <c r="F363" s="88"/>
      <c r="G363" s="88"/>
      <c r="H363" s="88"/>
      <c r="I363" s="88"/>
      <c r="J363" s="88"/>
      <c r="AT363" s="112"/>
      <c r="AU363" s="112"/>
      <c r="AV363" s="4"/>
      <c r="BG363" s="76"/>
    </row>
    <row r="364" spans="1:59" s="75" customFormat="1" x14ac:dyDescent="0.25">
      <c r="A364" s="76"/>
      <c r="E364" s="88"/>
      <c r="F364" s="88"/>
      <c r="G364" s="88"/>
      <c r="H364" s="88"/>
      <c r="I364" s="88"/>
      <c r="J364" s="88"/>
      <c r="AT364" s="112"/>
      <c r="AU364" s="112"/>
      <c r="AV364" s="4"/>
      <c r="BG364" s="76"/>
    </row>
    <row r="365" spans="1:59" s="75" customFormat="1" x14ac:dyDescent="0.25">
      <c r="A365" s="76"/>
      <c r="E365" s="88"/>
      <c r="F365" s="88"/>
      <c r="G365" s="88"/>
      <c r="H365" s="88"/>
      <c r="I365" s="88"/>
      <c r="J365" s="88"/>
      <c r="AT365" s="112"/>
      <c r="AU365" s="112"/>
      <c r="AV365" s="4"/>
      <c r="BG365" s="76"/>
    </row>
    <row r="366" spans="1:59" s="75" customFormat="1" x14ac:dyDescent="0.25">
      <c r="A366" s="76"/>
      <c r="E366" s="88"/>
      <c r="F366" s="88"/>
      <c r="G366" s="88"/>
      <c r="H366" s="88"/>
      <c r="I366" s="88"/>
      <c r="J366" s="88"/>
      <c r="AT366" s="112"/>
      <c r="AU366" s="112"/>
      <c r="AV366" s="4"/>
      <c r="BG366" s="76"/>
    </row>
    <row r="367" spans="1:59" s="75" customFormat="1" x14ac:dyDescent="0.25">
      <c r="A367" s="76"/>
      <c r="E367" s="88"/>
      <c r="F367" s="88"/>
      <c r="G367" s="88"/>
      <c r="H367" s="88"/>
      <c r="I367" s="88"/>
      <c r="J367" s="88"/>
      <c r="AT367" s="112"/>
      <c r="AU367" s="112"/>
      <c r="AV367" s="4"/>
      <c r="BG367" s="76"/>
    </row>
    <row r="368" spans="1:59" s="75" customFormat="1" x14ac:dyDescent="0.25">
      <c r="A368" s="76"/>
      <c r="E368" s="88"/>
      <c r="F368" s="88"/>
      <c r="G368" s="88"/>
      <c r="H368" s="88"/>
      <c r="I368" s="88"/>
      <c r="J368" s="88"/>
      <c r="AT368" s="112"/>
      <c r="AU368" s="112"/>
      <c r="AV368" s="4"/>
      <c r="BG368" s="76"/>
    </row>
    <row r="369" spans="1:59" s="75" customFormat="1" x14ac:dyDescent="0.25">
      <c r="A369" s="76"/>
      <c r="E369" s="88"/>
      <c r="F369" s="88"/>
      <c r="G369" s="88"/>
      <c r="H369" s="88"/>
      <c r="I369" s="88"/>
      <c r="J369" s="88"/>
      <c r="AT369" s="112"/>
      <c r="AU369" s="112"/>
      <c r="AV369" s="4"/>
      <c r="BG369" s="76"/>
    </row>
    <row r="370" spans="1:59" s="75" customFormat="1" x14ac:dyDescent="0.25">
      <c r="A370" s="76"/>
      <c r="E370" s="88"/>
      <c r="F370" s="88"/>
      <c r="G370" s="88"/>
      <c r="H370" s="88"/>
      <c r="I370" s="88"/>
      <c r="J370" s="88"/>
      <c r="AT370" s="112"/>
      <c r="AU370" s="112"/>
      <c r="AV370" s="4"/>
      <c r="BG370" s="76"/>
    </row>
    <row r="371" spans="1:59" s="75" customFormat="1" x14ac:dyDescent="0.25">
      <c r="A371" s="76"/>
      <c r="E371" s="88"/>
      <c r="F371" s="88"/>
      <c r="G371" s="88"/>
      <c r="H371" s="88"/>
      <c r="I371" s="88"/>
      <c r="J371" s="88"/>
      <c r="AT371" s="112"/>
      <c r="AU371" s="112"/>
      <c r="AV371" s="4"/>
      <c r="BG371" s="76"/>
    </row>
    <row r="372" spans="1:59" s="75" customFormat="1" x14ac:dyDescent="0.25">
      <c r="A372" s="76"/>
      <c r="E372" s="88"/>
      <c r="F372" s="88"/>
      <c r="G372" s="88"/>
      <c r="H372" s="88"/>
      <c r="I372" s="88"/>
      <c r="J372" s="88"/>
      <c r="AT372" s="112"/>
      <c r="AU372" s="112"/>
      <c r="AV372" s="4"/>
      <c r="BG372" s="76"/>
    </row>
    <row r="373" spans="1:59" s="75" customFormat="1" x14ac:dyDescent="0.25">
      <c r="A373" s="76"/>
      <c r="E373" s="88"/>
      <c r="F373" s="88"/>
      <c r="G373" s="88"/>
      <c r="H373" s="88"/>
      <c r="I373" s="88"/>
      <c r="J373" s="88"/>
      <c r="AT373" s="112"/>
      <c r="AU373" s="112"/>
      <c r="AV373" s="4"/>
      <c r="BG373" s="76"/>
    </row>
    <row r="374" spans="1:59" s="75" customFormat="1" x14ac:dyDescent="0.25">
      <c r="A374" s="76"/>
      <c r="E374" s="88"/>
      <c r="F374" s="88"/>
      <c r="G374" s="88"/>
      <c r="H374" s="88"/>
      <c r="I374" s="88"/>
      <c r="J374" s="88"/>
      <c r="AT374" s="112"/>
      <c r="AU374" s="112"/>
      <c r="AV374" s="4"/>
      <c r="BG374" s="76"/>
    </row>
    <row r="375" spans="1:59" s="75" customFormat="1" x14ac:dyDescent="0.25">
      <c r="A375" s="76"/>
      <c r="E375" s="88"/>
      <c r="F375" s="88"/>
      <c r="G375" s="88"/>
      <c r="H375" s="88"/>
      <c r="I375" s="88"/>
      <c r="J375" s="88"/>
      <c r="AT375" s="112"/>
      <c r="AU375" s="112"/>
      <c r="AV375" s="4"/>
      <c r="BG375" s="76"/>
    </row>
    <row r="376" spans="1:59" s="75" customFormat="1" x14ac:dyDescent="0.25">
      <c r="A376" s="76"/>
      <c r="E376" s="88"/>
      <c r="F376" s="88"/>
      <c r="G376" s="88"/>
      <c r="H376" s="88"/>
      <c r="I376" s="88"/>
      <c r="J376" s="88"/>
      <c r="AT376" s="112"/>
      <c r="AU376" s="112"/>
      <c r="AV376" s="4"/>
      <c r="BG376" s="76"/>
    </row>
    <row r="377" spans="1:59" s="75" customFormat="1" x14ac:dyDescent="0.25">
      <c r="A377" s="76"/>
      <c r="E377" s="88"/>
      <c r="F377" s="88"/>
      <c r="G377" s="88"/>
      <c r="H377" s="88"/>
      <c r="I377" s="88"/>
      <c r="J377" s="88"/>
      <c r="AT377" s="112"/>
      <c r="AU377" s="112"/>
      <c r="AV377" s="4"/>
      <c r="BG377" s="76"/>
    </row>
    <row r="378" spans="1:59" s="75" customFormat="1" x14ac:dyDescent="0.25">
      <c r="A378" s="76"/>
      <c r="E378" s="88"/>
      <c r="F378" s="88"/>
      <c r="G378" s="88"/>
      <c r="H378" s="88"/>
      <c r="I378" s="88"/>
      <c r="J378" s="88"/>
      <c r="AT378" s="112"/>
      <c r="AU378" s="112"/>
      <c r="AV378" s="4"/>
      <c r="BG378" s="76"/>
    </row>
    <row r="379" spans="1:59" s="75" customFormat="1" x14ac:dyDescent="0.25">
      <c r="A379" s="76"/>
      <c r="E379" s="88"/>
      <c r="F379" s="88"/>
      <c r="G379" s="88"/>
      <c r="H379" s="88"/>
      <c r="I379" s="88"/>
      <c r="J379" s="88"/>
      <c r="AT379" s="112"/>
      <c r="AU379" s="112"/>
      <c r="AV379" s="4"/>
      <c r="BG379" s="76"/>
    </row>
    <row r="380" spans="1:59" s="75" customFormat="1" x14ac:dyDescent="0.25">
      <c r="A380" s="76"/>
      <c r="E380" s="88"/>
      <c r="F380" s="88"/>
      <c r="G380" s="88"/>
      <c r="H380" s="88"/>
      <c r="I380" s="88"/>
      <c r="J380" s="88"/>
      <c r="AT380" s="112"/>
      <c r="AU380" s="112"/>
      <c r="AV380" s="4"/>
      <c r="BG380" s="76"/>
    </row>
    <row r="381" spans="1:59" s="75" customFormat="1" x14ac:dyDescent="0.25">
      <c r="A381" s="76"/>
      <c r="E381" s="88"/>
      <c r="F381" s="88"/>
      <c r="G381" s="88"/>
      <c r="H381" s="88"/>
      <c r="I381" s="88"/>
      <c r="J381" s="88"/>
      <c r="AT381" s="112"/>
      <c r="AU381" s="112"/>
      <c r="AV381" s="4"/>
      <c r="BG381" s="76"/>
    </row>
    <row r="382" spans="1:59" s="75" customFormat="1" x14ac:dyDescent="0.25">
      <c r="A382" s="76"/>
      <c r="E382" s="88"/>
      <c r="F382" s="88"/>
      <c r="G382" s="88"/>
      <c r="H382" s="88"/>
      <c r="I382" s="88"/>
      <c r="J382" s="88"/>
      <c r="AT382" s="112"/>
      <c r="AU382" s="112"/>
      <c r="AV382" s="4"/>
      <c r="BG382" s="76"/>
    </row>
    <row r="383" spans="1:59" s="75" customFormat="1" x14ac:dyDescent="0.25">
      <c r="A383" s="76"/>
      <c r="E383" s="88"/>
      <c r="F383" s="88"/>
      <c r="G383" s="88"/>
      <c r="H383" s="88"/>
      <c r="I383" s="88"/>
      <c r="J383" s="88"/>
      <c r="AT383" s="112"/>
      <c r="AU383" s="112"/>
      <c r="AV383" s="4"/>
      <c r="BG383" s="76"/>
    </row>
    <row r="384" spans="1:59" s="75" customFormat="1" x14ac:dyDescent="0.25">
      <c r="A384" s="76"/>
      <c r="E384" s="88"/>
      <c r="F384" s="88"/>
      <c r="G384" s="88"/>
      <c r="H384" s="88"/>
      <c r="I384" s="88"/>
      <c r="J384" s="88"/>
      <c r="AT384" s="112"/>
      <c r="AU384" s="112"/>
      <c r="AV384" s="4"/>
      <c r="BG384" s="76"/>
    </row>
    <row r="385" spans="1:59" s="75" customFormat="1" x14ac:dyDescent="0.25">
      <c r="A385" s="76"/>
      <c r="E385" s="88"/>
      <c r="F385" s="88"/>
      <c r="G385" s="88"/>
      <c r="H385" s="88"/>
      <c r="I385" s="88"/>
      <c r="J385" s="88"/>
      <c r="AT385" s="112"/>
      <c r="AU385" s="112"/>
      <c r="AV385" s="4"/>
      <c r="BG385" s="76"/>
    </row>
    <row r="386" spans="1:59" s="75" customFormat="1" x14ac:dyDescent="0.25">
      <c r="A386" s="76"/>
      <c r="E386" s="88"/>
      <c r="F386" s="88"/>
      <c r="G386" s="88"/>
      <c r="H386" s="88"/>
      <c r="I386" s="88"/>
      <c r="J386" s="88"/>
      <c r="AT386" s="112"/>
      <c r="AU386" s="112"/>
      <c r="AV386" s="4"/>
      <c r="BG386" s="76"/>
    </row>
    <row r="387" spans="1:59" s="75" customFormat="1" x14ac:dyDescent="0.25">
      <c r="A387" s="76"/>
      <c r="E387" s="88"/>
      <c r="F387" s="88"/>
      <c r="G387" s="88"/>
      <c r="H387" s="88"/>
      <c r="I387" s="88"/>
      <c r="J387" s="88"/>
      <c r="AT387" s="112"/>
      <c r="AU387" s="112"/>
      <c r="AV387" s="4"/>
      <c r="BG387" s="76"/>
    </row>
    <row r="388" spans="1:59" s="75" customFormat="1" x14ac:dyDescent="0.25">
      <c r="A388" s="76"/>
      <c r="E388" s="88"/>
      <c r="F388" s="88"/>
      <c r="G388" s="88"/>
      <c r="H388" s="88"/>
      <c r="I388" s="88"/>
      <c r="J388" s="88"/>
      <c r="AT388" s="112"/>
      <c r="AU388" s="112"/>
      <c r="AV388" s="4"/>
      <c r="BG388" s="76"/>
    </row>
    <row r="389" spans="1:59" s="75" customFormat="1" x14ac:dyDescent="0.25">
      <c r="A389" s="76"/>
      <c r="E389" s="88"/>
      <c r="F389" s="88"/>
      <c r="G389" s="88"/>
      <c r="H389" s="88"/>
      <c r="I389" s="88"/>
      <c r="J389" s="88"/>
      <c r="AT389" s="112"/>
      <c r="AU389" s="112"/>
      <c r="AV389" s="4"/>
      <c r="BG389" s="76"/>
    </row>
    <row r="390" spans="1:59" s="75" customFormat="1" x14ac:dyDescent="0.25">
      <c r="A390" s="76"/>
      <c r="E390" s="88"/>
      <c r="F390" s="88"/>
      <c r="G390" s="88"/>
      <c r="H390" s="88"/>
      <c r="I390" s="88"/>
      <c r="J390" s="88"/>
      <c r="AT390" s="112"/>
      <c r="AU390" s="112"/>
      <c r="AV390" s="4"/>
      <c r="BG390" s="76"/>
    </row>
    <row r="391" spans="1:59" s="75" customFormat="1" x14ac:dyDescent="0.25">
      <c r="A391" s="76"/>
      <c r="E391" s="88"/>
      <c r="F391" s="88"/>
      <c r="G391" s="88"/>
      <c r="H391" s="88"/>
      <c r="I391" s="88"/>
      <c r="J391" s="88"/>
      <c r="AT391" s="112"/>
      <c r="AU391" s="112"/>
      <c r="AV391" s="4"/>
      <c r="BG391" s="76"/>
    </row>
    <row r="392" spans="1:59" s="75" customFormat="1" x14ac:dyDescent="0.25">
      <c r="A392" s="76"/>
      <c r="E392" s="88"/>
      <c r="F392" s="88"/>
      <c r="G392" s="88"/>
      <c r="H392" s="88"/>
      <c r="I392" s="88"/>
      <c r="J392" s="88"/>
      <c r="AT392" s="112"/>
      <c r="AU392" s="112"/>
      <c r="AV392" s="4"/>
      <c r="BG392" s="76"/>
    </row>
    <row r="393" spans="1:59" s="75" customFormat="1" x14ac:dyDescent="0.25">
      <c r="A393" s="76"/>
      <c r="E393" s="88"/>
      <c r="F393" s="88"/>
      <c r="G393" s="88"/>
      <c r="H393" s="88"/>
      <c r="I393" s="88"/>
      <c r="J393" s="88"/>
      <c r="AT393" s="112"/>
      <c r="AU393" s="112"/>
      <c r="AV393" s="4"/>
      <c r="BG393" s="76"/>
    </row>
    <row r="394" spans="1:59" s="75" customFormat="1" x14ac:dyDescent="0.25">
      <c r="A394" s="76"/>
      <c r="E394" s="88"/>
      <c r="F394" s="88"/>
      <c r="G394" s="88"/>
      <c r="H394" s="88"/>
      <c r="I394" s="88"/>
      <c r="J394" s="88"/>
      <c r="AT394" s="112"/>
      <c r="AU394" s="112"/>
      <c r="AV394" s="4"/>
      <c r="BG394" s="76"/>
    </row>
    <row r="395" spans="1:59" s="75" customFormat="1" x14ac:dyDescent="0.25">
      <c r="A395" s="76"/>
      <c r="E395" s="88"/>
      <c r="F395" s="88"/>
      <c r="G395" s="88"/>
      <c r="H395" s="88"/>
      <c r="I395" s="88"/>
      <c r="J395" s="88"/>
      <c r="AT395" s="112"/>
      <c r="AU395" s="112"/>
      <c r="AV395" s="4"/>
      <c r="BG395" s="76"/>
    </row>
    <row r="396" spans="1:59" s="75" customFormat="1" x14ac:dyDescent="0.25">
      <c r="A396" s="76"/>
      <c r="E396" s="88"/>
      <c r="F396" s="88"/>
      <c r="G396" s="88"/>
      <c r="H396" s="88"/>
      <c r="I396" s="88"/>
      <c r="J396" s="88"/>
      <c r="AT396" s="112"/>
      <c r="AU396" s="112"/>
      <c r="AV396" s="4"/>
      <c r="BG396" s="76"/>
    </row>
    <row r="397" spans="1:59" s="75" customFormat="1" x14ac:dyDescent="0.25">
      <c r="A397" s="76"/>
      <c r="E397" s="88"/>
      <c r="F397" s="88"/>
      <c r="G397" s="88"/>
      <c r="H397" s="88"/>
      <c r="I397" s="88"/>
      <c r="J397" s="88"/>
      <c r="AT397" s="112"/>
      <c r="AU397" s="112"/>
      <c r="AV397" s="4"/>
      <c r="BG397" s="76"/>
    </row>
    <row r="398" spans="1:59" s="75" customFormat="1" x14ac:dyDescent="0.25">
      <c r="A398" s="76"/>
      <c r="E398" s="88"/>
      <c r="F398" s="88"/>
      <c r="G398" s="88"/>
      <c r="H398" s="88"/>
      <c r="I398" s="88"/>
      <c r="J398" s="88"/>
      <c r="AT398" s="112"/>
      <c r="AU398" s="112"/>
      <c r="AV398" s="4"/>
      <c r="BG398" s="76"/>
    </row>
    <row r="399" spans="1:59" s="75" customFormat="1" x14ac:dyDescent="0.25">
      <c r="A399" s="76"/>
      <c r="E399" s="88"/>
      <c r="F399" s="88"/>
      <c r="G399" s="88"/>
      <c r="H399" s="88"/>
      <c r="I399" s="88"/>
      <c r="J399" s="88"/>
      <c r="AT399" s="112"/>
      <c r="AU399" s="112"/>
      <c r="AV399" s="4"/>
      <c r="BG399" s="76"/>
    </row>
    <row r="400" spans="1:59" s="75" customFormat="1" x14ac:dyDescent="0.25">
      <c r="A400" s="76"/>
      <c r="E400" s="88"/>
      <c r="F400" s="88"/>
      <c r="G400" s="88"/>
      <c r="H400" s="88"/>
      <c r="I400" s="88"/>
      <c r="J400" s="88"/>
      <c r="AT400" s="112"/>
      <c r="AU400" s="112"/>
      <c r="AV400" s="4"/>
      <c r="BG400" s="76"/>
    </row>
    <row r="401" spans="1:59" s="75" customFormat="1" x14ac:dyDescent="0.25">
      <c r="A401" s="76"/>
      <c r="E401" s="88"/>
      <c r="F401" s="88"/>
      <c r="G401" s="88"/>
      <c r="H401" s="88"/>
      <c r="I401" s="88"/>
      <c r="J401" s="88"/>
      <c r="AT401" s="112"/>
      <c r="AU401" s="112"/>
      <c r="AV401" s="4"/>
      <c r="BG401" s="76"/>
    </row>
    <row r="402" spans="1:59" s="75" customFormat="1" x14ac:dyDescent="0.25">
      <c r="A402" s="76"/>
      <c r="E402" s="88"/>
      <c r="F402" s="88"/>
      <c r="G402" s="88"/>
      <c r="H402" s="88"/>
      <c r="I402" s="88"/>
      <c r="J402" s="88"/>
      <c r="AT402" s="112"/>
      <c r="AU402" s="112"/>
      <c r="AV402" s="4"/>
      <c r="BG402" s="76"/>
    </row>
    <row r="403" spans="1:59" s="75" customFormat="1" x14ac:dyDescent="0.25">
      <c r="A403" s="76"/>
      <c r="E403" s="88"/>
      <c r="F403" s="88"/>
      <c r="G403" s="88"/>
      <c r="H403" s="88"/>
      <c r="I403" s="88"/>
      <c r="J403" s="88"/>
      <c r="AT403" s="112"/>
      <c r="AU403" s="112"/>
      <c r="AV403" s="4"/>
      <c r="BG403" s="76"/>
    </row>
    <row r="404" spans="1:59" s="75" customFormat="1" x14ac:dyDescent="0.25">
      <c r="A404" s="76"/>
      <c r="E404" s="88"/>
      <c r="F404" s="88"/>
      <c r="G404" s="88"/>
      <c r="H404" s="88"/>
      <c r="I404" s="88"/>
      <c r="J404" s="88"/>
      <c r="AT404" s="112"/>
      <c r="AU404" s="112"/>
      <c r="AV404" s="4"/>
      <c r="BG404" s="76"/>
    </row>
    <row r="405" spans="1:59" s="75" customFormat="1" x14ac:dyDescent="0.25">
      <c r="A405" s="76"/>
      <c r="E405" s="88"/>
      <c r="F405" s="88"/>
      <c r="G405" s="88"/>
      <c r="H405" s="88"/>
      <c r="I405" s="88"/>
      <c r="J405" s="88"/>
      <c r="AT405" s="112"/>
      <c r="AU405" s="112"/>
      <c r="AV405" s="4"/>
      <c r="BG405" s="76"/>
    </row>
    <row r="406" spans="1:59" s="75" customFormat="1" x14ac:dyDescent="0.25">
      <c r="A406" s="76"/>
      <c r="E406" s="88"/>
      <c r="F406" s="88"/>
      <c r="G406" s="88"/>
      <c r="H406" s="88"/>
      <c r="I406" s="88"/>
      <c r="J406" s="88"/>
      <c r="AT406" s="112"/>
      <c r="AU406" s="112"/>
      <c r="AV406" s="4"/>
      <c r="BG406" s="76"/>
    </row>
    <row r="407" spans="1:59" s="75" customFormat="1" x14ac:dyDescent="0.25">
      <c r="A407" s="76"/>
      <c r="E407" s="88"/>
      <c r="F407" s="88"/>
      <c r="G407" s="88"/>
      <c r="H407" s="88"/>
      <c r="I407" s="88"/>
      <c r="J407" s="88"/>
      <c r="AT407" s="112"/>
      <c r="AU407" s="112"/>
      <c r="AV407" s="4"/>
      <c r="BG407" s="76"/>
    </row>
    <row r="408" spans="1:59" s="75" customFormat="1" x14ac:dyDescent="0.25">
      <c r="A408" s="76"/>
      <c r="E408" s="88"/>
      <c r="F408" s="88"/>
      <c r="G408" s="88"/>
      <c r="H408" s="88"/>
      <c r="I408" s="88"/>
      <c r="J408" s="88"/>
      <c r="AT408" s="112"/>
      <c r="AU408" s="112"/>
      <c r="AV408" s="4"/>
      <c r="BG408" s="76"/>
    </row>
    <row r="409" spans="1:59" s="75" customFormat="1" x14ac:dyDescent="0.25">
      <c r="A409" s="76"/>
      <c r="E409" s="88"/>
      <c r="F409" s="88"/>
      <c r="G409" s="88"/>
      <c r="H409" s="88"/>
      <c r="I409" s="88"/>
      <c r="J409" s="88"/>
      <c r="AT409" s="112"/>
      <c r="AU409" s="112"/>
      <c r="AV409" s="4"/>
      <c r="BG409" s="76"/>
    </row>
    <row r="410" spans="1:59" s="75" customFormat="1" x14ac:dyDescent="0.25">
      <c r="A410" s="76"/>
      <c r="E410" s="88"/>
      <c r="F410" s="88"/>
      <c r="G410" s="88"/>
      <c r="H410" s="88"/>
      <c r="I410" s="88"/>
      <c r="J410" s="88"/>
      <c r="AT410" s="112"/>
      <c r="AU410" s="112"/>
      <c r="AV410" s="4"/>
      <c r="BG410" s="76"/>
    </row>
    <row r="411" spans="1:59" s="75" customFormat="1" x14ac:dyDescent="0.25">
      <c r="A411" s="76"/>
      <c r="E411" s="88"/>
      <c r="F411" s="88"/>
      <c r="G411" s="88"/>
      <c r="H411" s="88"/>
      <c r="I411" s="88"/>
      <c r="J411" s="88"/>
      <c r="AT411" s="112"/>
      <c r="AU411" s="112"/>
      <c r="AV411" s="4"/>
      <c r="BG411" s="76"/>
    </row>
    <row r="412" spans="1:59" s="75" customFormat="1" x14ac:dyDescent="0.25">
      <c r="A412" s="76"/>
      <c r="E412" s="88"/>
      <c r="F412" s="88"/>
      <c r="G412" s="88"/>
      <c r="H412" s="88"/>
      <c r="I412" s="88"/>
      <c r="J412" s="88"/>
      <c r="AT412" s="112"/>
      <c r="AU412" s="112"/>
      <c r="AV412" s="4"/>
      <c r="BG412" s="76"/>
    </row>
    <row r="413" spans="1:59" s="75" customFormat="1" x14ac:dyDescent="0.25">
      <c r="A413" s="76"/>
      <c r="E413" s="88"/>
      <c r="F413" s="88"/>
      <c r="G413" s="88"/>
      <c r="H413" s="88"/>
      <c r="I413" s="88"/>
      <c r="J413" s="88"/>
      <c r="AT413" s="112"/>
      <c r="AU413" s="112"/>
      <c r="AV413" s="4"/>
      <c r="BG413" s="76"/>
    </row>
    <row r="414" spans="1:59" s="75" customFormat="1" x14ac:dyDescent="0.25">
      <c r="A414" s="76"/>
      <c r="E414" s="88"/>
      <c r="F414" s="88"/>
      <c r="G414" s="88"/>
      <c r="H414" s="88"/>
      <c r="I414" s="88"/>
      <c r="J414" s="88"/>
      <c r="AT414" s="112"/>
      <c r="AU414" s="112"/>
      <c r="AV414" s="4"/>
      <c r="BG414" s="76"/>
    </row>
    <row r="415" spans="1:59" s="75" customFormat="1" x14ac:dyDescent="0.25">
      <c r="A415" s="76"/>
      <c r="E415" s="88"/>
      <c r="F415" s="88"/>
      <c r="G415" s="88"/>
      <c r="H415" s="88"/>
      <c r="I415" s="88"/>
      <c r="J415" s="88"/>
      <c r="AT415" s="112"/>
      <c r="AU415" s="112"/>
      <c r="AV415" s="4"/>
      <c r="BG415" s="76"/>
    </row>
    <row r="416" spans="1:59" s="75" customFormat="1" x14ac:dyDescent="0.25">
      <c r="A416" s="76"/>
      <c r="E416" s="88"/>
      <c r="F416" s="88"/>
      <c r="G416" s="88"/>
      <c r="H416" s="88"/>
      <c r="I416" s="88"/>
      <c r="J416" s="88"/>
      <c r="AT416" s="112"/>
      <c r="AU416" s="112"/>
      <c r="AV416" s="4"/>
      <c r="BG416" s="76"/>
    </row>
    <row r="417" spans="1:59" s="75" customFormat="1" x14ac:dyDescent="0.25">
      <c r="A417" s="76"/>
      <c r="E417" s="88"/>
      <c r="F417" s="88"/>
      <c r="G417" s="88"/>
      <c r="H417" s="88"/>
      <c r="I417" s="88"/>
      <c r="J417" s="88"/>
      <c r="AT417" s="112"/>
      <c r="AU417" s="112"/>
      <c r="AV417" s="4"/>
      <c r="BG417" s="76"/>
    </row>
    <row r="418" spans="1:59" s="75" customFormat="1" x14ac:dyDescent="0.25">
      <c r="A418" s="76"/>
      <c r="E418" s="88"/>
      <c r="F418" s="88"/>
      <c r="G418" s="88"/>
      <c r="H418" s="88"/>
      <c r="I418" s="88"/>
      <c r="J418" s="88"/>
      <c r="AT418" s="112"/>
      <c r="AU418" s="112"/>
      <c r="AV418" s="4"/>
      <c r="BG418" s="76"/>
    </row>
    <row r="419" spans="1:59" s="75" customFormat="1" x14ac:dyDescent="0.25">
      <c r="A419" s="76"/>
      <c r="E419" s="88"/>
      <c r="F419" s="88"/>
      <c r="G419" s="88"/>
      <c r="H419" s="88"/>
      <c r="I419" s="88"/>
      <c r="J419" s="88"/>
      <c r="AT419" s="112"/>
      <c r="AU419" s="112"/>
      <c r="AV419" s="4"/>
      <c r="BG419" s="76"/>
    </row>
    <row r="420" spans="1:59" s="75" customFormat="1" x14ac:dyDescent="0.25">
      <c r="A420" s="76"/>
      <c r="E420" s="88"/>
      <c r="F420" s="88"/>
      <c r="G420" s="88"/>
      <c r="H420" s="88"/>
      <c r="I420" s="88"/>
      <c r="J420" s="88"/>
      <c r="AT420" s="112"/>
      <c r="AU420" s="112"/>
      <c r="AV420" s="4"/>
      <c r="BG420" s="76"/>
    </row>
    <row r="421" spans="1:59" s="75" customFormat="1" x14ac:dyDescent="0.25">
      <c r="A421" s="76"/>
      <c r="E421" s="88"/>
      <c r="F421" s="88"/>
      <c r="G421" s="88"/>
      <c r="H421" s="88"/>
      <c r="I421" s="88"/>
      <c r="J421" s="88"/>
      <c r="AT421" s="112"/>
      <c r="AU421" s="112"/>
      <c r="AV421" s="4"/>
      <c r="BG421" s="76"/>
    </row>
    <row r="422" spans="1:59" s="75" customFormat="1" x14ac:dyDescent="0.25">
      <c r="A422" s="76"/>
      <c r="E422" s="88"/>
      <c r="F422" s="88"/>
      <c r="G422" s="88"/>
      <c r="H422" s="88"/>
      <c r="I422" s="88"/>
      <c r="J422" s="88"/>
      <c r="AT422" s="112"/>
      <c r="AU422" s="112"/>
      <c r="AV422" s="4"/>
      <c r="BG422" s="76"/>
    </row>
    <row r="423" spans="1:59" s="75" customFormat="1" x14ac:dyDescent="0.25">
      <c r="A423" s="76"/>
      <c r="E423" s="88"/>
      <c r="F423" s="88"/>
      <c r="G423" s="88"/>
      <c r="H423" s="88"/>
      <c r="I423" s="88"/>
      <c r="J423" s="88"/>
      <c r="AT423" s="112"/>
      <c r="AU423" s="112"/>
      <c r="AV423" s="4"/>
      <c r="BG423" s="76"/>
    </row>
    <row r="424" spans="1:59" s="75" customFormat="1" x14ac:dyDescent="0.25">
      <c r="A424" s="76"/>
      <c r="E424" s="88"/>
      <c r="F424" s="88"/>
      <c r="G424" s="88"/>
      <c r="H424" s="88"/>
      <c r="I424" s="88"/>
      <c r="J424" s="88"/>
      <c r="AT424" s="112"/>
      <c r="AU424" s="112"/>
      <c r="AV424" s="4"/>
      <c r="BG424" s="76"/>
    </row>
    <row r="425" spans="1:59" s="75" customFormat="1" x14ac:dyDescent="0.25">
      <c r="A425" s="76"/>
      <c r="E425" s="88"/>
      <c r="F425" s="88"/>
      <c r="G425" s="88"/>
      <c r="H425" s="88"/>
      <c r="I425" s="88"/>
      <c r="J425" s="88"/>
      <c r="AT425" s="112"/>
      <c r="AU425" s="112"/>
      <c r="AV425" s="4"/>
      <c r="BG425" s="76"/>
    </row>
    <row r="426" spans="1:59" s="75" customFormat="1" x14ac:dyDescent="0.25">
      <c r="A426" s="76"/>
      <c r="E426" s="88"/>
      <c r="F426" s="88"/>
      <c r="G426" s="88"/>
      <c r="H426" s="88"/>
      <c r="I426" s="88"/>
      <c r="J426" s="88"/>
      <c r="AT426" s="112"/>
      <c r="AU426" s="112"/>
      <c r="AV426" s="4"/>
      <c r="BG426" s="76"/>
    </row>
    <row r="427" spans="1:59" s="75" customFormat="1" x14ac:dyDescent="0.25">
      <c r="A427" s="76"/>
      <c r="E427" s="88"/>
      <c r="F427" s="88"/>
      <c r="G427" s="88"/>
      <c r="H427" s="88"/>
      <c r="I427" s="88"/>
      <c r="J427" s="88"/>
      <c r="AT427" s="112"/>
      <c r="AU427" s="112"/>
      <c r="AV427" s="4"/>
      <c r="BG427" s="76"/>
    </row>
    <row r="428" spans="1:59" s="75" customFormat="1" x14ac:dyDescent="0.25">
      <c r="A428" s="76"/>
      <c r="E428" s="88"/>
      <c r="F428" s="88"/>
      <c r="G428" s="88"/>
      <c r="H428" s="88"/>
      <c r="I428" s="88"/>
      <c r="J428" s="88"/>
      <c r="AT428" s="112"/>
      <c r="AU428" s="112"/>
      <c r="AV428" s="4"/>
      <c r="BG428" s="76"/>
    </row>
    <row r="429" spans="1:59" s="75" customFormat="1" x14ac:dyDescent="0.25">
      <c r="A429" s="76"/>
      <c r="E429" s="88"/>
      <c r="F429" s="88"/>
      <c r="G429" s="88"/>
      <c r="H429" s="88"/>
      <c r="I429" s="88"/>
      <c r="J429" s="88"/>
      <c r="AT429" s="112"/>
      <c r="AU429" s="112"/>
      <c r="AV429" s="4"/>
      <c r="BG429" s="76"/>
    </row>
    <row r="430" spans="1:59" s="75" customFormat="1" x14ac:dyDescent="0.25">
      <c r="A430" s="76"/>
      <c r="E430" s="88"/>
      <c r="F430" s="88"/>
      <c r="G430" s="88"/>
      <c r="H430" s="88"/>
      <c r="I430" s="88"/>
      <c r="J430" s="88"/>
      <c r="AT430" s="112"/>
      <c r="AU430" s="112"/>
      <c r="AV430" s="4"/>
      <c r="BG430" s="76"/>
    </row>
    <row r="431" spans="1:59" s="75" customFormat="1" x14ac:dyDescent="0.25">
      <c r="A431" s="76"/>
      <c r="E431" s="88"/>
      <c r="F431" s="88"/>
      <c r="G431" s="88"/>
      <c r="H431" s="88"/>
      <c r="I431" s="88"/>
      <c r="J431" s="88"/>
      <c r="AT431" s="112"/>
      <c r="AU431" s="112"/>
      <c r="AV431" s="4"/>
      <c r="BG431" s="76"/>
    </row>
    <row r="432" spans="1:59" s="75" customFormat="1" x14ac:dyDescent="0.25">
      <c r="A432" s="76"/>
      <c r="E432" s="88"/>
      <c r="F432" s="88"/>
      <c r="G432" s="88"/>
      <c r="H432" s="88"/>
      <c r="I432" s="88"/>
      <c r="J432" s="88"/>
      <c r="AT432" s="112"/>
      <c r="AU432" s="112"/>
      <c r="AV432" s="4"/>
      <c r="BG432" s="76"/>
    </row>
    <row r="433" spans="1:59" s="75" customFormat="1" x14ac:dyDescent="0.25">
      <c r="A433" s="76"/>
      <c r="E433" s="88"/>
      <c r="F433" s="88"/>
      <c r="G433" s="88"/>
      <c r="H433" s="88"/>
      <c r="I433" s="88"/>
      <c r="J433" s="88"/>
      <c r="AT433" s="112"/>
      <c r="AU433" s="112"/>
      <c r="AV433" s="4"/>
      <c r="BG433" s="76"/>
    </row>
    <row r="434" spans="1:59" s="75" customFormat="1" x14ac:dyDescent="0.25">
      <c r="A434" s="76"/>
      <c r="E434" s="88"/>
      <c r="F434" s="88"/>
      <c r="G434" s="88"/>
      <c r="H434" s="88"/>
      <c r="I434" s="88"/>
      <c r="J434" s="88"/>
      <c r="AT434" s="112"/>
      <c r="AU434" s="112"/>
      <c r="AV434" s="4"/>
      <c r="BG434" s="76"/>
    </row>
    <row r="435" spans="1:59" s="75" customFormat="1" x14ac:dyDescent="0.25">
      <c r="A435" s="76"/>
      <c r="E435" s="88"/>
      <c r="F435" s="88"/>
      <c r="G435" s="88"/>
      <c r="H435" s="88"/>
      <c r="I435" s="88"/>
      <c r="J435" s="88"/>
      <c r="AT435" s="112"/>
      <c r="AU435" s="112"/>
      <c r="AV435" s="4"/>
      <c r="BG435" s="76"/>
    </row>
    <row r="436" spans="1:59" s="75" customFormat="1" x14ac:dyDescent="0.25">
      <c r="A436" s="76"/>
      <c r="E436" s="88"/>
      <c r="F436" s="88"/>
      <c r="G436" s="88"/>
      <c r="H436" s="88"/>
      <c r="I436" s="88"/>
      <c r="J436" s="88"/>
      <c r="AT436" s="112"/>
      <c r="AU436" s="112"/>
      <c r="AV436" s="4"/>
      <c r="BG436" s="76"/>
    </row>
    <row r="437" spans="1:59" s="75" customFormat="1" x14ac:dyDescent="0.25">
      <c r="A437" s="76"/>
      <c r="E437" s="88"/>
      <c r="F437" s="88"/>
      <c r="G437" s="88"/>
      <c r="H437" s="88"/>
      <c r="I437" s="88"/>
      <c r="J437" s="88"/>
      <c r="AT437" s="112"/>
      <c r="AU437" s="112"/>
      <c r="AV437" s="4"/>
      <c r="BG437" s="76"/>
    </row>
    <row r="438" spans="1:59" s="75" customFormat="1" x14ac:dyDescent="0.25">
      <c r="A438" s="76"/>
      <c r="E438" s="88"/>
      <c r="F438" s="88"/>
      <c r="G438" s="88"/>
      <c r="H438" s="88"/>
      <c r="I438" s="88"/>
      <c r="J438" s="88"/>
      <c r="AT438" s="112"/>
      <c r="AU438" s="112"/>
      <c r="AV438" s="4"/>
      <c r="BG438" s="76"/>
    </row>
    <row r="439" spans="1:59" s="75" customFormat="1" x14ac:dyDescent="0.25">
      <c r="A439" s="76"/>
      <c r="E439" s="88"/>
      <c r="F439" s="88"/>
      <c r="G439" s="88"/>
      <c r="H439" s="88"/>
      <c r="I439" s="88"/>
      <c r="J439" s="88"/>
      <c r="AT439" s="112"/>
      <c r="AU439" s="112"/>
      <c r="AV439" s="4"/>
      <c r="BG439" s="76"/>
    </row>
    <row r="440" spans="1:59" s="75" customFormat="1" x14ac:dyDescent="0.25">
      <c r="A440" s="76"/>
      <c r="E440" s="88"/>
      <c r="F440" s="88"/>
      <c r="G440" s="88"/>
      <c r="H440" s="88"/>
      <c r="I440" s="88"/>
      <c r="J440" s="88"/>
      <c r="AT440" s="112"/>
      <c r="AU440" s="112"/>
      <c r="AV440" s="4"/>
      <c r="BG440" s="76"/>
    </row>
    <row r="441" spans="1:59" s="75" customFormat="1" x14ac:dyDescent="0.25">
      <c r="A441" s="76"/>
      <c r="E441" s="88"/>
      <c r="F441" s="88"/>
      <c r="G441" s="88"/>
      <c r="H441" s="88"/>
      <c r="I441" s="88"/>
      <c r="J441" s="88"/>
      <c r="AT441" s="112"/>
      <c r="AU441" s="112"/>
      <c r="AV441" s="4"/>
      <c r="BG441" s="76"/>
    </row>
    <row r="442" spans="1:59" s="75" customFormat="1" x14ac:dyDescent="0.25">
      <c r="A442" s="76"/>
      <c r="E442" s="88"/>
      <c r="F442" s="88"/>
      <c r="G442" s="88"/>
      <c r="H442" s="88"/>
      <c r="I442" s="88"/>
      <c r="J442" s="88"/>
      <c r="AT442" s="112"/>
      <c r="AU442" s="112"/>
      <c r="AV442" s="4"/>
      <c r="BG442" s="76"/>
    </row>
    <row r="443" spans="1:59" s="75" customFormat="1" x14ac:dyDescent="0.25">
      <c r="A443" s="76"/>
      <c r="E443" s="88"/>
      <c r="F443" s="88"/>
      <c r="G443" s="88"/>
      <c r="H443" s="88"/>
      <c r="I443" s="88"/>
      <c r="J443" s="88"/>
      <c r="AT443" s="112"/>
      <c r="AU443" s="112"/>
      <c r="AV443" s="4"/>
      <c r="BG443" s="76"/>
    </row>
    <row r="444" spans="1:59" s="75" customFormat="1" x14ac:dyDescent="0.25">
      <c r="A444" s="76"/>
      <c r="E444" s="88"/>
      <c r="F444" s="88"/>
      <c r="G444" s="88"/>
      <c r="H444" s="88"/>
      <c r="I444" s="88"/>
      <c r="J444" s="88"/>
      <c r="AT444" s="112"/>
      <c r="AU444" s="112"/>
      <c r="AV444" s="4"/>
      <c r="BG444" s="76"/>
    </row>
    <row r="445" spans="1:59" s="75" customFormat="1" x14ac:dyDescent="0.25">
      <c r="A445" s="76"/>
      <c r="E445" s="88"/>
      <c r="F445" s="88"/>
      <c r="G445" s="88"/>
      <c r="H445" s="88"/>
      <c r="I445" s="88"/>
      <c r="J445" s="88"/>
      <c r="AT445" s="112"/>
      <c r="AU445" s="112"/>
      <c r="AV445" s="4"/>
      <c r="BG445" s="76"/>
    </row>
    <row r="446" spans="1:59" s="75" customFormat="1" x14ac:dyDescent="0.25">
      <c r="A446" s="76"/>
      <c r="E446" s="88"/>
      <c r="F446" s="88"/>
      <c r="G446" s="88"/>
      <c r="H446" s="88"/>
      <c r="I446" s="88"/>
      <c r="J446" s="88"/>
      <c r="AT446" s="112"/>
      <c r="AU446" s="112"/>
      <c r="AV446" s="4"/>
      <c r="BG446" s="76"/>
    </row>
    <row r="447" spans="1:59" s="75" customFormat="1" x14ac:dyDescent="0.25">
      <c r="A447" s="76"/>
      <c r="E447" s="88"/>
      <c r="F447" s="88"/>
      <c r="G447" s="88"/>
      <c r="H447" s="88"/>
      <c r="I447" s="88"/>
      <c r="J447" s="88"/>
      <c r="AT447" s="112"/>
      <c r="AU447" s="112"/>
      <c r="AV447" s="4"/>
      <c r="BG447" s="76"/>
    </row>
    <row r="448" spans="1:59" s="75" customFormat="1" x14ac:dyDescent="0.25">
      <c r="A448" s="76"/>
      <c r="E448" s="88"/>
      <c r="F448" s="88"/>
      <c r="G448" s="88"/>
      <c r="H448" s="88"/>
      <c r="I448" s="88"/>
      <c r="J448" s="88"/>
      <c r="AT448" s="112"/>
      <c r="AU448" s="112"/>
      <c r="AV448" s="4"/>
      <c r="BG448" s="76"/>
    </row>
    <row r="449" spans="1:59" s="75" customFormat="1" x14ac:dyDescent="0.25">
      <c r="A449" s="76"/>
      <c r="E449" s="88"/>
      <c r="F449" s="88"/>
      <c r="G449" s="88"/>
      <c r="H449" s="88"/>
      <c r="I449" s="88"/>
      <c r="J449" s="88"/>
      <c r="AT449" s="112"/>
      <c r="AU449" s="112"/>
      <c r="AV449" s="4"/>
      <c r="BG449" s="76"/>
    </row>
    <row r="450" spans="1:59" s="75" customFormat="1" x14ac:dyDescent="0.25">
      <c r="A450" s="76"/>
      <c r="E450" s="88"/>
      <c r="F450" s="88"/>
      <c r="G450" s="88"/>
      <c r="H450" s="88"/>
      <c r="I450" s="88"/>
      <c r="J450" s="88"/>
      <c r="AT450" s="112"/>
      <c r="AU450" s="112"/>
      <c r="AV450" s="4"/>
      <c r="BG450" s="76"/>
    </row>
    <row r="451" spans="1:59" s="75" customFormat="1" x14ac:dyDescent="0.25">
      <c r="A451" s="76"/>
      <c r="E451" s="88"/>
      <c r="F451" s="88"/>
      <c r="G451" s="88"/>
      <c r="H451" s="88"/>
      <c r="I451" s="88"/>
      <c r="J451" s="88"/>
      <c r="AT451" s="112"/>
      <c r="AU451" s="112"/>
      <c r="AV451" s="4"/>
      <c r="BG451" s="76"/>
    </row>
    <row r="452" spans="1:59" s="75" customFormat="1" x14ac:dyDescent="0.25">
      <c r="A452" s="76"/>
      <c r="E452" s="88"/>
      <c r="F452" s="88"/>
      <c r="G452" s="88"/>
      <c r="H452" s="88"/>
      <c r="I452" s="88"/>
      <c r="J452" s="88"/>
      <c r="AT452" s="112"/>
      <c r="AU452" s="112"/>
      <c r="AV452" s="4"/>
      <c r="BG452" s="76"/>
    </row>
    <row r="453" spans="1:59" s="75" customFormat="1" x14ac:dyDescent="0.25">
      <c r="A453" s="76"/>
      <c r="E453" s="88"/>
      <c r="F453" s="88"/>
      <c r="G453" s="88"/>
      <c r="H453" s="88"/>
      <c r="I453" s="88"/>
      <c r="J453" s="88"/>
      <c r="AT453" s="112"/>
      <c r="AU453" s="112"/>
      <c r="AV453" s="4"/>
      <c r="BG453" s="76"/>
    </row>
    <row r="454" spans="1:59" s="75" customFormat="1" x14ac:dyDescent="0.25">
      <c r="A454" s="76"/>
      <c r="E454" s="88"/>
      <c r="F454" s="88"/>
      <c r="G454" s="88"/>
      <c r="H454" s="88"/>
      <c r="I454" s="88"/>
      <c r="J454" s="88"/>
      <c r="AT454" s="112"/>
      <c r="AU454" s="112"/>
      <c r="AV454" s="4"/>
      <c r="BG454" s="76"/>
    </row>
    <row r="455" spans="1:59" s="75" customFormat="1" x14ac:dyDescent="0.25">
      <c r="A455" s="76"/>
      <c r="E455" s="88"/>
      <c r="F455" s="88"/>
      <c r="G455" s="88"/>
      <c r="H455" s="88"/>
      <c r="I455" s="88"/>
      <c r="J455" s="88"/>
      <c r="AT455" s="112"/>
      <c r="AU455" s="112"/>
      <c r="AV455" s="4"/>
      <c r="BG455" s="76"/>
    </row>
    <row r="456" spans="1:59" s="75" customFormat="1" x14ac:dyDescent="0.25">
      <c r="A456" s="76"/>
      <c r="E456" s="88"/>
      <c r="F456" s="88"/>
      <c r="G456" s="88"/>
      <c r="H456" s="88"/>
      <c r="I456" s="88"/>
      <c r="J456" s="88"/>
      <c r="AT456" s="112"/>
      <c r="AU456" s="112"/>
      <c r="AV456" s="4"/>
      <c r="BG456" s="76"/>
    </row>
    <row r="457" spans="1:59" s="75" customFormat="1" x14ac:dyDescent="0.25">
      <c r="A457" s="76"/>
      <c r="E457" s="88"/>
      <c r="F457" s="88"/>
      <c r="G457" s="88"/>
      <c r="H457" s="88"/>
      <c r="I457" s="88"/>
      <c r="J457" s="88"/>
      <c r="AT457" s="112"/>
      <c r="AU457" s="112"/>
      <c r="AV457" s="4"/>
      <c r="BG457" s="76"/>
    </row>
    <row r="458" spans="1:59" s="75" customFormat="1" x14ac:dyDescent="0.25">
      <c r="A458" s="76"/>
      <c r="E458" s="88"/>
      <c r="F458" s="88"/>
      <c r="G458" s="88"/>
      <c r="H458" s="88"/>
      <c r="I458" s="88"/>
      <c r="J458" s="88"/>
      <c r="AT458" s="112"/>
      <c r="AU458" s="112"/>
      <c r="AV458" s="4"/>
      <c r="BG458" s="76"/>
    </row>
    <row r="459" spans="1:59" s="75" customFormat="1" x14ac:dyDescent="0.25">
      <c r="A459" s="76"/>
      <c r="E459" s="88"/>
      <c r="F459" s="88"/>
      <c r="G459" s="88"/>
      <c r="H459" s="88"/>
      <c r="I459" s="88"/>
      <c r="J459" s="88"/>
      <c r="AT459" s="112"/>
      <c r="AU459" s="112"/>
      <c r="AV459" s="4"/>
      <c r="BG459" s="76"/>
    </row>
    <row r="460" spans="1:59" s="75" customFormat="1" x14ac:dyDescent="0.25">
      <c r="A460" s="76"/>
      <c r="E460" s="88"/>
      <c r="F460" s="88"/>
      <c r="G460" s="88"/>
      <c r="H460" s="88"/>
      <c r="I460" s="88"/>
      <c r="J460" s="88"/>
      <c r="AT460" s="112"/>
      <c r="AU460" s="112"/>
      <c r="AV460" s="4"/>
      <c r="BG460" s="76"/>
    </row>
    <row r="461" spans="1:59" s="75" customFormat="1" x14ac:dyDescent="0.25">
      <c r="A461" s="76"/>
      <c r="E461" s="88"/>
      <c r="F461" s="88"/>
      <c r="G461" s="88"/>
      <c r="H461" s="88"/>
      <c r="I461" s="88"/>
      <c r="J461" s="88"/>
      <c r="AT461" s="112"/>
      <c r="AU461" s="112"/>
      <c r="AV461" s="4"/>
      <c r="BG461" s="76"/>
    </row>
    <row r="462" spans="1:59" s="75" customFormat="1" x14ac:dyDescent="0.25">
      <c r="A462" s="76"/>
      <c r="E462" s="88"/>
      <c r="F462" s="88"/>
      <c r="G462" s="88"/>
      <c r="H462" s="88"/>
      <c r="I462" s="88"/>
      <c r="J462" s="88"/>
      <c r="AT462" s="112"/>
      <c r="AU462" s="112"/>
      <c r="AV462" s="4"/>
      <c r="BG462" s="76"/>
    </row>
    <row r="463" spans="1:59" s="75" customFormat="1" x14ac:dyDescent="0.25">
      <c r="A463" s="76"/>
      <c r="E463" s="88"/>
      <c r="F463" s="88"/>
      <c r="G463" s="88"/>
      <c r="H463" s="88"/>
      <c r="I463" s="88"/>
      <c r="J463" s="88"/>
      <c r="AT463" s="112"/>
      <c r="AU463" s="112"/>
      <c r="AV463" s="4"/>
      <c r="BG463" s="76"/>
    </row>
    <row r="464" spans="1:59" s="75" customFormat="1" x14ac:dyDescent="0.25">
      <c r="A464" s="76"/>
      <c r="E464" s="88"/>
      <c r="F464" s="88"/>
      <c r="G464" s="88"/>
      <c r="H464" s="88"/>
      <c r="I464" s="88"/>
      <c r="J464" s="88"/>
      <c r="AT464" s="112"/>
      <c r="AU464" s="112"/>
      <c r="AV464" s="4"/>
      <c r="BG464" s="76"/>
    </row>
    <row r="465" spans="1:59" s="75" customFormat="1" x14ac:dyDescent="0.25">
      <c r="A465" s="76"/>
      <c r="E465" s="88"/>
      <c r="F465" s="88"/>
      <c r="G465" s="88"/>
      <c r="H465" s="88"/>
      <c r="I465" s="88"/>
      <c r="J465" s="88"/>
      <c r="AT465" s="112"/>
      <c r="AU465" s="112"/>
      <c r="AV465" s="4"/>
      <c r="BG465" s="76"/>
    </row>
    <row r="466" spans="1:59" s="75" customFormat="1" x14ac:dyDescent="0.25">
      <c r="A466" s="76"/>
      <c r="E466" s="88"/>
      <c r="F466" s="88"/>
      <c r="G466" s="88"/>
      <c r="H466" s="88"/>
      <c r="I466" s="88"/>
      <c r="J466" s="88"/>
      <c r="AT466" s="112"/>
      <c r="AU466" s="112"/>
      <c r="AV466" s="4"/>
      <c r="BG466" s="76"/>
    </row>
    <row r="467" spans="1:59" s="75" customFormat="1" x14ac:dyDescent="0.25">
      <c r="A467" s="76"/>
      <c r="E467" s="88"/>
      <c r="F467" s="88"/>
      <c r="G467" s="88"/>
      <c r="H467" s="88"/>
      <c r="I467" s="88"/>
      <c r="J467" s="88"/>
      <c r="AT467" s="112"/>
      <c r="AU467" s="112"/>
      <c r="AV467" s="4"/>
      <c r="BG467" s="76"/>
    </row>
    <row r="468" spans="1:59" s="75" customFormat="1" x14ac:dyDescent="0.25">
      <c r="A468" s="76"/>
      <c r="E468" s="88"/>
      <c r="F468" s="88"/>
      <c r="G468" s="88"/>
      <c r="H468" s="88"/>
      <c r="I468" s="88"/>
      <c r="J468" s="88"/>
      <c r="AT468" s="112"/>
      <c r="AU468" s="112"/>
      <c r="AV468" s="4"/>
      <c r="BG468" s="76"/>
    </row>
    <row r="469" spans="1:59" s="75" customFormat="1" x14ac:dyDescent="0.25">
      <c r="A469" s="76"/>
      <c r="E469" s="88"/>
      <c r="F469" s="88"/>
      <c r="G469" s="88"/>
      <c r="H469" s="88"/>
      <c r="I469" s="88"/>
      <c r="J469" s="88"/>
      <c r="AT469" s="112"/>
      <c r="AU469" s="112"/>
      <c r="AV469" s="4"/>
      <c r="BG469" s="76"/>
    </row>
    <row r="470" spans="1:59" s="75" customFormat="1" x14ac:dyDescent="0.25">
      <c r="A470" s="76"/>
      <c r="E470" s="88"/>
      <c r="F470" s="88"/>
      <c r="G470" s="88"/>
      <c r="H470" s="88"/>
      <c r="I470" s="88"/>
      <c r="J470" s="88"/>
      <c r="AT470" s="112"/>
      <c r="AU470" s="112"/>
      <c r="AV470" s="4"/>
      <c r="BG470" s="76"/>
    </row>
    <row r="471" spans="1:59" s="75" customFormat="1" x14ac:dyDescent="0.25">
      <c r="A471" s="76"/>
      <c r="E471" s="88"/>
      <c r="F471" s="88"/>
      <c r="G471" s="88"/>
      <c r="H471" s="88"/>
      <c r="I471" s="88"/>
      <c r="J471" s="88"/>
      <c r="AT471" s="112"/>
      <c r="AU471" s="112"/>
      <c r="AV471" s="4"/>
      <c r="BG471" s="76"/>
    </row>
    <row r="472" spans="1:59" s="75" customFormat="1" x14ac:dyDescent="0.25">
      <c r="A472" s="76"/>
      <c r="E472" s="88"/>
      <c r="F472" s="88"/>
      <c r="G472" s="88"/>
      <c r="H472" s="88"/>
      <c r="I472" s="88"/>
      <c r="J472" s="88"/>
      <c r="AT472" s="112"/>
      <c r="AU472" s="112"/>
      <c r="AV472" s="4"/>
      <c r="BG472" s="76"/>
    </row>
    <row r="473" spans="1:59" s="75" customFormat="1" x14ac:dyDescent="0.25">
      <c r="A473" s="76"/>
      <c r="E473" s="88"/>
      <c r="F473" s="88"/>
      <c r="G473" s="88"/>
      <c r="H473" s="88"/>
      <c r="I473" s="88"/>
      <c r="J473" s="88"/>
      <c r="AT473" s="112"/>
      <c r="AU473" s="112"/>
      <c r="AV473" s="4"/>
      <c r="BG473" s="76"/>
    </row>
    <row r="474" spans="1:59" s="75" customFormat="1" x14ac:dyDescent="0.25">
      <c r="A474" s="76"/>
      <c r="E474" s="88"/>
      <c r="F474" s="88"/>
      <c r="G474" s="88"/>
      <c r="H474" s="88"/>
      <c r="I474" s="88"/>
      <c r="J474" s="88"/>
      <c r="AT474" s="112"/>
      <c r="AU474" s="112"/>
      <c r="AV474" s="4"/>
      <c r="BG474" s="76"/>
    </row>
    <row r="475" spans="1:59" s="75" customFormat="1" x14ac:dyDescent="0.25">
      <c r="A475" s="76"/>
      <c r="E475" s="88"/>
      <c r="F475" s="88"/>
      <c r="G475" s="88"/>
      <c r="H475" s="88"/>
      <c r="I475" s="88"/>
      <c r="J475" s="88"/>
      <c r="AT475" s="112"/>
      <c r="AU475" s="112"/>
      <c r="AV475" s="4"/>
      <c r="BG475" s="76"/>
    </row>
    <row r="476" spans="1:59" s="75" customFormat="1" x14ac:dyDescent="0.25">
      <c r="A476" s="76"/>
      <c r="E476" s="88"/>
      <c r="F476" s="88"/>
      <c r="G476" s="88"/>
      <c r="H476" s="88"/>
      <c r="I476" s="88"/>
      <c r="J476" s="88"/>
      <c r="AT476" s="112"/>
      <c r="AU476" s="112"/>
      <c r="AV476" s="4"/>
      <c r="BG476" s="76"/>
    </row>
    <row r="477" spans="1:59" s="75" customFormat="1" x14ac:dyDescent="0.25">
      <c r="A477" s="76"/>
      <c r="E477" s="88"/>
      <c r="F477" s="88"/>
      <c r="G477" s="88"/>
      <c r="H477" s="88"/>
      <c r="I477" s="88"/>
      <c r="J477" s="88"/>
      <c r="AT477" s="112"/>
      <c r="AU477" s="112"/>
      <c r="AV477" s="4"/>
      <c r="BG477" s="76"/>
    </row>
    <row r="478" spans="1:59" s="75" customFormat="1" x14ac:dyDescent="0.25">
      <c r="A478" s="76"/>
      <c r="E478" s="88"/>
      <c r="F478" s="88"/>
      <c r="G478" s="88"/>
      <c r="H478" s="88"/>
      <c r="I478" s="88"/>
      <c r="J478" s="88"/>
      <c r="AT478" s="112"/>
      <c r="AU478" s="112"/>
      <c r="AV478" s="4"/>
      <c r="BG478" s="76"/>
    </row>
    <row r="479" spans="1:59" s="75" customFormat="1" x14ac:dyDescent="0.25">
      <c r="A479" s="76"/>
      <c r="E479" s="88"/>
      <c r="F479" s="88"/>
      <c r="G479" s="88"/>
      <c r="H479" s="88"/>
      <c r="I479" s="88"/>
      <c r="J479" s="88"/>
      <c r="AT479" s="112"/>
      <c r="AU479" s="112"/>
      <c r="AV479" s="4"/>
      <c r="BG479" s="76"/>
    </row>
    <row r="480" spans="1:59" s="75" customFormat="1" x14ac:dyDescent="0.25">
      <c r="A480" s="76"/>
      <c r="E480" s="88"/>
      <c r="F480" s="88"/>
      <c r="G480" s="88"/>
      <c r="H480" s="88"/>
      <c r="I480" s="88"/>
      <c r="J480" s="88"/>
      <c r="AT480" s="112"/>
      <c r="AU480" s="112"/>
      <c r="AV480" s="4"/>
      <c r="BG480" s="76"/>
    </row>
    <row r="481" spans="1:59" s="75" customFormat="1" x14ac:dyDescent="0.25">
      <c r="A481" s="76"/>
      <c r="E481" s="88"/>
      <c r="F481" s="88"/>
      <c r="G481" s="88"/>
      <c r="H481" s="88"/>
      <c r="I481" s="88"/>
      <c r="J481" s="88"/>
      <c r="AT481" s="112"/>
      <c r="AU481" s="112"/>
      <c r="AV481" s="4"/>
      <c r="BG481" s="76"/>
    </row>
    <row r="482" spans="1:59" s="75" customFormat="1" x14ac:dyDescent="0.25">
      <c r="A482" s="76"/>
      <c r="E482" s="88"/>
      <c r="F482" s="88"/>
      <c r="G482" s="88"/>
      <c r="H482" s="88"/>
      <c r="I482" s="88"/>
      <c r="J482" s="88"/>
      <c r="AT482" s="112"/>
      <c r="AU482" s="112"/>
      <c r="AV482" s="4"/>
      <c r="BG482" s="76"/>
    </row>
    <row r="483" spans="1:59" s="75" customFormat="1" x14ac:dyDescent="0.25">
      <c r="A483" s="76"/>
      <c r="E483" s="88"/>
      <c r="F483" s="88"/>
      <c r="G483" s="88"/>
      <c r="H483" s="88"/>
      <c r="I483" s="88"/>
      <c r="J483" s="88"/>
      <c r="AT483" s="112"/>
      <c r="AU483" s="112"/>
      <c r="AV483" s="4"/>
      <c r="BG483" s="76"/>
    </row>
    <row r="484" spans="1:59" s="75" customFormat="1" x14ac:dyDescent="0.25">
      <c r="A484" s="76"/>
      <c r="E484" s="88"/>
      <c r="F484" s="88"/>
      <c r="G484" s="88"/>
      <c r="H484" s="88"/>
      <c r="I484" s="88"/>
      <c r="J484" s="88"/>
      <c r="AT484" s="112"/>
      <c r="AU484" s="112"/>
      <c r="AV484" s="4"/>
      <c r="BG484" s="76"/>
    </row>
    <row r="485" spans="1:59" s="75" customFormat="1" x14ac:dyDescent="0.25">
      <c r="A485" s="76"/>
      <c r="E485" s="88"/>
      <c r="F485" s="88"/>
      <c r="G485" s="88"/>
      <c r="H485" s="88"/>
      <c r="I485" s="88"/>
      <c r="J485" s="88"/>
      <c r="AT485" s="112"/>
      <c r="AU485" s="112"/>
      <c r="AV485" s="4"/>
      <c r="BG485" s="76"/>
    </row>
    <row r="486" spans="1:59" s="75" customFormat="1" x14ac:dyDescent="0.25">
      <c r="A486" s="76"/>
      <c r="E486" s="88"/>
      <c r="F486" s="88"/>
      <c r="G486" s="88"/>
      <c r="H486" s="88"/>
      <c r="I486" s="88"/>
      <c r="J486" s="88"/>
      <c r="AT486" s="112"/>
      <c r="AU486" s="112"/>
      <c r="AV486" s="4"/>
      <c r="BG486" s="76"/>
    </row>
    <row r="487" spans="1:59" s="75" customFormat="1" x14ac:dyDescent="0.25">
      <c r="A487" s="76"/>
      <c r="E487" s="88"/>
      <c r="F487" s="88"/>
      <c r="G487" s="88"/>
      <c r="H487" s="88"/>
      <c r="I487" s="88"/>
      <c r="J487" s="88"/>
      <c r="AT487" s="112"/>
      <c r="AU487" s="112"/>
      <c r="AV487" s="4"/>
      <c r="BG487" s="76"/>
    </row>
    <row r="488" spans="1:59" s="75" customFormat="1" x14ac:dyDescent="0.25">
      <c r="A488" s="76"/>
      <c r="E488" s="88"/>
      <c r="F488" s="88"/>
      <c r="G488" s="88"/>
      <c r="H488" s="88"/>
      <c r="I488" s="88"/>
      <c r="J488" s="88"/>
      <c r="AT488" s="112"/>
      <c r="AU488" s="112"/>
      <c r="AV488" s="4"/>
      <c r="BG488" s="76"/>
    </row>
    <row r="489" spans="1:59" s="75" customFormat="1" x14ac:dyDescent="0.25">
      <c r="A489" s="76"/>
      <c r="E489" s="88"/>
      <c r="F489" s="88"/>
      <c r="G489" s="88"/>
      <c r="H489" s="88"/>
      <c r="I489" s="88"/>
      <c r="J489" s="88"/>
      <c r="AT489" s="112"/>
      <c r="AU489" s="112"/>
      <c r="AV489" s="4"/>
      <c r="BG489" s="76"/>
    </row>
    <row r="490" spans="1:59" s="75" customFormat="1" x14ac:dyDescent="0.25">
      <c r="A490" s="76"/>
      <c r="E490" s="88"/>
      <c r="F490" s="88"/>
      <c r="G490" s="88"/>
      <c r="H490" s="88"/>
      <c r="I490" s="88"/>
      <c r="J490" s="88"/>
      <c r="AT490" s="112"/>
      <c r="AU490" s="112"/>
      <c r="AV490" s="4"/>
      <c r="BG490" s="76"/>
    </row>
    <row r="491" spans="1:59" s="75" customFormat="1" x14ac:dyDescent="0.25">
      <c r="A491" s="76"/>
      <c r="E491" s="88"/>
      <c r="F491" s="88"/>
      <c r="G491" s="88"/>
      <c r="H491" s="88"/>
      <c r="I491" s="88"/>
      <c r="J491" s="88"/>
      <c r="AT491" s="112"/>
      <c r="AU491" s="112"/>
      <c r="AV491" s="4"/>
      <c r="BG491" s="76"/>
    </row>
    <row r="492" spans="1:59" s="75" customFormat="1" x14ac:dyDescent="0.25">
      <c r="A492" s="76"/>
      <c r="E492" s="88"/>
      <c r="F492" s="88"/>
      <c r="G492" s="88"/>
      <c r="H492" s="88"/>
      <c r="I492" s="88"/>
      <c r="J492" s="88"/>
      <c r="AT492" s="112"/>
      <c r="AU492" s="112"/>
      <c r="AV492" s="4"/>
      <c r="BG492" s="76"/>
    </row>
    <row r="493" spans="1:59" s="75" customFormat="1" x14ac:dyDescent="0.25">
      <c r="A493" s="76"/>
      <c r="E493" s="88"/>
      <c r="F493" s="88"/>
      <c r="G493" s="88"/>
      <c r="H493" s="88"/>
      <c r="I493" s="88"/>
      <c r="J493" s="88"/>
      <c r="AT493" s="112"/>
      <c r="AU493" s="112"/>
      <c r="AV493" s="4"/>
      <c r="BG493" s="76"/>
    </row>
  </sheetData>
  <mergeCells count="17">
    <mergeCell ref="B25:D25"/>
    <mergeCell ref="B28:D28"/>
    <mergeCell ref="B33:D33"/>
    <mergeCell ref="B18:D18"/>
    <mergeCell ref="AJ3:AV3"/>
    <mergeCell ref="K6:K83"/>
    <mergeCell ref="A1:AW1"/>
    <mergeCell ref="A2:AW2"/>
    <mergeCell ref="B4:C4"/>
    <mergeCell ref="B3:D3"/>
    <mergeCell ref="F3:F5"/>
    <mergeCell ref="G3:G5"/>
    <mergeCell ref="H3:H5"/>
    <mergeCell ref="I3:I5"/>
    <mergeCell ref="AW3:BH3"/>
    <mergeCell ref="J3:J5"/>
    <mergeCell ref="K3:AG3"/>
  </mergeCells>
  <pageMargins left="0.25" right="0.25" top="0.5" bottom="0.5" header="0.3" footer="0.3"/>
  <pageSetup paperSize="128" scale="77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Wilhoite-Shapton, Stephenie D</cp:lastModifiedBy>
  <cp:revision/>
  <dcterms:created xsi:type="dcterms:W3CDTF">2014-07-10T16:04:01Z</dcterms:created>
  <dcterms:modified xsi:type="dcterms:W3CDTF">2024-02-22T00:21:24Z</dcterms:modified>
  <cp:category/>
  <cp:contentStatus/>
</cp:coreProperties>
</file>